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workbookProtection workbookAlgorithmName="SHA-512" workbookHashValue="0zh7xTH57Wv6PdhQ4k6enqJQ3GDGFRsbVps6CEzorK+CMjJnc57Q/6kKNzP0d7PPvC6glDQDNovB5+eBIt5UsA==" workbookSaltValue="vRhbdfPb+w6uh6PCvNngaA==" workbookSpinCount="100000" lockStructure="1"/>
  <bookViews>
    <workbookView xWindow="0" yWindow="0" windowWidth="19200" windowHeight="7305" tabRatio="853" firstSheet="2" activeTab="2"/>
  </bookViews>
  <sheets>
    <sheet name="STARCH" sheetId="64" state="hidden" r:id="rId1"/>
    <sheet name="VARIANTI" sheetId="65" state="hidden" r:id="rId2"/>
    <sheet name="NOTE IMPORTANTI" sheetId="63" r:id="rId3"/>
    <sheet name="Tabella Parametrica U1-U2" sheetId="29" r:id="rId4"/>
    <sheet name="Allegato_1Cs" sheetId="4" r:id="rId5"/>
    <sheet name="QCC (A)" sheetId="30" r:id="rId6"/>
    <sheet name="QCC (B)" sheetId="32" r:id="rId7"/>
    <sheet name="QCC (C)" sheetId="57" r:id="rId8"/>
    <sheet name="QCC (D)" sheetId="58" r:id="rId9"/>
    <sheet name="QCC (A.bis) cambio d'uso" sheetId="59" r:id="rId10"/>
    <sheet name="QCC (C.bis) cambio d'uso" sheetId="60" r:id="rId11"/>
    <sheet name="QCC (C.ter) cambio d'uso" sheetId="61" r:id="rId12"/>
  </sheets>
  <definedNames>
    <definedName name="_xlnm.Print_Area" localSheetId="4">Allegato_1Cs!$R$2:$AG$320</definedName>
    <definedName name="_xlnm.Print_Area" localSheetId="5">'QCC (A)'!$B$2:$L$72</definedName>
    <definedName name="_xlnm.Print_Area" localSheetId="9">'QCC (A.bis) cambio d''uso'!$B$2:$N$129</definedName>
    <definedName name="_xlnm.Print_Area" localSheetId="6">'QCC (B)'!$B$2:$Z$40</definedName>
    <definedName name="_xlnm.Print_Area" localSheetId="7">'QCC (C)'!$B$2:$AC$27</definedName>
    <definedName name="_xlnm.Print_Area" localSheetId="10">'QCC (C.bis) cambio d''uso'!$B$2:$N$59</definedName>
    <definedName name="_xlnm.Print_Area" localSheetId="11">'QCC (C.ter) cambio d''uso'!$B$2:$N$59</definedName>
    <definedName name="_xlnm.Print_Area" localSheetId="8">'QCC (D)'!$B$2:$AD$42</definedName>
    <definedName name="_xlnm.Print_Area" localSheetId="3">'Tabella Parametrica U1-U2'!$B$3:$S$58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7" i="4" l="1"/>
  <c r="S196" i="4"/>
  <c r="G9" i="65" l="1"/>
  <c r="G10" i="65"/>
  <c r="G11" i="65"/>
  <c r="E8" i="65"/>
  <c r="E7" i="65"/>
  <c r="G8" i="65"/>
  <c r="G7" i="65"/>
  <c r="G6" i="65"/>
  <c r="C5" i="64" l="1"/>
  <c r="B5" i="64" s="1"/>
  <c r="C4" i="64"/>
  <c r="B4" i="64" s="1"/>
  <c r="G5" i="65"/>
  <c r="G4" i="65"/>
  <c r="G3" i="65"/>
  <c r="G2" i="65"/>
  <c r="I41" i="61" l="1"/>
  <c r="J41" i="61"/>
  <c r="K41" i="61"/>
  <c r="L41" i="61"/>
  <c r="M41" i="61"/>
  <c r="N41" i="61"/>
  <c r="O41" i="61"/>
  <c r="P41" i="61"/>
  <c r="H41" i="61"/>
  <c r="I36" i="61"/>
  <c r="I37" i="61"/>
  <c r="I35" i="61"/>
  <c r="I22" i="61"/>
  <c r="J22" i="61"/>
  <c r="K22" i="61"/>
  <c r="L22" i="61"/>
  <c r="M22" i="61"/>
  <c r="N22" i="61"/>
  <c r="O22" i="61"/>
  <c r="P22" i="61"/>
  <c r="H22" i="61"/>
  <c r="I17" i="61"/>
  <c r="I18" i="61"/>
  <c r="I16" i="61"/>
  <c r="I42" i="60"/>
  <c r="J42" i="60"/>
  <c r="K42" i="60"/>
  <c r="L42" i="60"/>
  <c r="M42" i="60"/>
  <c r="N42" i="60"/>
  <c r="O42" i="60"/>
  <c r="P42" i="60"/>
  <c r="H42" i="60"/>
  <c r="I37" i="60"/>
  <c r="I38" i="60"/>
  <c r="I36" i="60"/>
  <c r="I22" i="60"/>
  <c r="J22" i="60"/>
  <c r="K22" i="60"/>
  <c r="L22" i="60"/>
  <c r="M22" i="60"/>
  <c r="N22" i="60"/>
  <c r="O22" i="60"/>
  <c r="P22" i="60"/>
  <c r="H22" i="60"/>
  <c r="I17" i="60"/>
  <c r="I18" i="60"/>
  <c r="I16" i="60"/>
  <c r="I41" i="59"/>
  <c r="J41" i="59"/>
  <c r="K41" i="59"/>
  <c r="L41" i="59"/>
  <c r="M41" i="59"/>
  <c r="N41" i="59"/>
  <c r="O41" i="59"/>
  <c r="P41" i="59"/>
  <c r="H41" i="59"/>
  <c r="I36" i="59"/>
  <c r="I37" i="59"/>
  <c r="I35" i="59"/>
  <c r="I22" i="59"/>
  <c r="J22" i="59"/>
  <c r="K22" i="59"/>
  <c r="L22" i="59"/>
  <c r="M22" i="59"/>
  <c r="N22" i="59"/>
  <c r="O22" i="59"/>
  <c r="P22" i="59"/>
  <c r="H22" i="59"/>
  <c r="I17" i="59"/>
  <c r="I18" i="59"/>
  <c r="I16" i="59"/>
  <c r="W30" i="58"/>
  <c r="X30" i="58"/>
  <c r="Y30" i="58"/>
  <c r="Z30" i="58"/>
  <c r="AA30" i="58"/>
  <c r="AB30" i="58"/>
  <c r="AC30" i="58"/>
  <c r="AD30" i="58"/>
  <c r="V30" i="58"/>
  <c r="W25" i="58"/>
  <c r="W26" i="58"/>
  <c r="W24" i="58"/>
  <c r="U10" i="57"/>
  <c r="U11" i="57"/>
  <c r="U9" i="57"/>
  <c r="W30" i="32"/>
  <c r="X30" i="32"/>
  <c r="Y30" i="32"/>
  <c r="Z30" i="32"/>
  <c r="AA30" i="32"/>
  <c r="AB30" i="32"/>
  <c r="AC30" i="32"/>
  <c r="AD30" i="32"/>
  <c r="V30" i="32"/>
  <c r="W25" i="32"/>
  <c r="W26" i="32"/>
  <c r="W24" i="32"/>
  <c r="F17" i="61" l="1"/>
  <c r="F23" i="61" l="1"/>
  <c r="C23" i="61" s="1"/>
  <c r="R10" i="57" l="1"/>
  <c r="R16" i="57" s="1"/>
  <c r="F36" i="59"/>
  <c r="F43" i="59" s="1"/>
  <c r="F37" i="60"/>
  <c r="F43" i="60" s="1"/>
  <c r="T25" i="58"/>
  <c r="T31" i="58" s="1"/>
  <c r="C43" i="60" l="1"/>
  <c r="F17" i="59"/>
  <c r="F23" i="59" s="1"/>
  <c r="AB189" i="4" l="1"/>
  <c r="AK218" i="4" l="1"/>
  <c r="AK220" i="4" s="1"/>
  <c r="AK221" i="4" s="1"/>
  <c r="AK216" i="4" l="1"/>
  <c r="AK219" i="4"/>
  <c r="AK215" i="4" l="1"/>
  <c r="AK217" i="4"/>
  <c r="AN218" i="4" l="1"/>
  <c r="AN216" i="4" l="1"/>
  <c r="AN220" i="4"/>
  <c r="AN221" i="4" s="1"/>
  <c r="AN219" i="4" l="1"/>
  <c r="AN217" i="4"/>
  <c r="AN215" i="4"/>
  <c r="AB194" i="4" l="1"/>
  <c r="AM194" i="4" s="1"/>
  <c r="AB193" i="4"/>
  <c r="AM193" i="4" s="1"/>
  <c r="AI263" i="4" l="1"/>
  <c r="V33" i="61"/>
  <c r="X33" i="61" s="1"/>
  <c r="V14" i="61"/>
  <c r="X14" i="61" s="1"/>
  <c r="V34" i="60"/>
  <c r="X34" i="60" s="1"/>
  <c r="U14" i="59"/>
  <c r="W14" i="59" s="1"/>
  <c r="T36" i="58"/>
  <c r="V36" i="58" s="1"/>
  <c r="R21" i="57"/>
  <c r="T21" i="57" s="1"/>
  <c r="V50" i="29" l="1"/>
  <c r="U50" i="29"/>
  <c r="V47" i="29"/>
  <c r="V45" i="29"/>
  <c r="U45" i="29"/>
  <c r="V44" i="29"/>
  <c r="U44" i="29"/>
  <c r="V23" i="29"/>
  <c r="U23" i="29"/>
  <c r="V21" i="29"/>
  <c r="U21" i="29"/>
  <c r="V20" i="29"/>
  <c r="U20" i="29"/>
  <c r="V19" i="29"/>
  <c r="U19" i="29"/>
  <c r="V17" i="29"/>
  <c r="U17" i="29"/>
  <c r="V16" i="29"/>
  <c r="U16" i="29"/>
  <c r="V15" i="29"/>
  <c r="U15" i="29"/>
  <c r="V14" i="29"/>
  <c r="U14" i="29"/>
  <c r="V13" i="29"/>
  <c r="U13" i="29"/>
  <c r="V12" i="29"/>
  <c r="U12" i="29"/>
  <c r="V10" i="29"/>
  <c r="U10" i="29"/>
  <c r="V9" i="29"/>
  <c r="U9" i="29"/>
  <c r="V8" i="29"/>
  <c r="U8" i="29"/>
  <c r="V7" i="29"/>
  <c r="U7" i="29"/>
  <c r="V6" i="29"/>
  <c r="U6" i="29"/>
  <c r="R18" i="29"/>
  <c r="V52" i="29" s="1"/>
  <c r="P18" i="29"/>
  <c r="U52" i="29" s="1"/>
  <c r="S11" i="29"/>
  <c r="V43" i="29" s="1"/>
  <c r="R11" i="29"/>
  <c r="U43" i="29" s="1"/>
  <c r="Q11" i="29"/>
  <c r="P11" i="29"/>
  <c r="S10" i="29"/>
  <c r="V46" i="29" s="1"/>
  <c r="R10" i="29"/>
  <c r="U46" i="29" s="1"/>
  <c r="Q10" i="29"/>
  <c r="P10" i="29"/>
  <c r="U47" i="29" s="1"/>
  <c r="S9" i="29"/>
  <c r="R9" i="29"/>
  <c r="Q9" i="29"/>
  <c r="P9" i="29"/>
  <c r="I55" i="61" l="1"/>
  <c r="J53" i="61"/>
  <c r="F36" i="61"/>
  <c r="I55" i="60"/>
  <c r="J53" i="60"/>
  <c r="F17" i="60"/>
  <c r="D61" i="59"/>
  <c r="E59" i="59" s="1"/>
  <c r="G59" i="59" s="1"/>
  <c r="C39" i="59"/>
  <c r="C23" i="59"/>
  <c r="L34" i="58"/>
  <c r="Q31" i="58"/>
  <c r="C25" i="58" s="1"/>
  <c r="K31" i="58"/>
  <c r="N16" i="58"/>
  <c r="N15" i="58"/>
  <c r="N14" i="58"/>
  <c r="N11" i="58"/>
  <c r="N10" i="58"/>
  <c r="I19" i="57"/>
  <c r="J17" i="57"/>
  <c r="O16" i="57"/>
  <c r="C10" i="57" s="1"/>
  <c r="F42" i="61" l="1"/>
  <c r="C42" i="61" s="1"/>
  <c r="C47" i="61" s="1"/>
  <c r="F24" i="60"/>
  <c r="C20" i="60" s="1"/>
  <c r="C47" i="60" s="1"/>
  <c r="E61" i="60" s="1"/>
  <c r="N17" i="58"/>
  <c r="E25" i="58" s="1"/>
  <c r="E56" i="59"/>
  <c r="G56" i="59" s="1"/>
  <c r="E57" i="59"/>
  <c r="G57" i="59" s="1"/>
  <c r="E58" i="59"/>
  <c r="G58" i="59" s="1"/>
  <c r="E60" i="59"/>
  <c r="G60" i="59" s="1"/>
  <c r="C63" i="59"/>
  <c r="C66" i="59" s="1"/>
  <c r="F69" i="59" s="1"/>
  <c r="C49" i="59"/>
  <c r="E31" i="57"/>
  <c r="E23" i="57" s="1"/>
  <c r="X91" i="4" s="1"/>
  <c r="E30" i="57"/>
  <c r="AF124" i="4"/>
  <c r="AM124" i="4" s="1"/>
  <c r="AF129" i="4"/>
  <c r="AM129" i="4" s="1"/>
  <c r="E60" i="60" l="1"/>
  <c r="N20" i="58"/>
  <c r="N18" i="58"/>
  <c r="N19" i="58" s="1"/>
  <c r="G45" i="58" s="1"/>
  <c r="H61" i="59"/>
  <c r="F66" i="59"/>
  <c r="F67" i="59"/>
  <c r="F68" i="59"/>
  <c r="C65" i="59"/>
  <c r="E59" i="60"/>
  <c r="X100" i="4" s="1"/>
  <c r="E61" i="61"/>
  <c r="E59" i="61" s="1"/>
  <c r="X103" i="4" s="1"/>
  <c r="E60" i="61"/>
  <c r="AF131" i="4"/>
  <c r="AB165" i="4"/>
  <c r="AB163" i="4"/>
  <c r="AB161" i="4"/>
  <c r="AB159" i="4"/>
  <c r="G46" i="58" l="1"/>
  <c r="G38" i="58" s="1"/>
  <c r="X94" i="4" s="1"/>
  <c r="H69" i="59"/>
  <c r="C73" i="59" s="1"/>
  <c r="E127" i="59" s="1"/>
  <c r="AB167" i="4"/>
  <c r="AI167" i="4" s="1"/>
  <c r="V173" i="4" s="1"/>
  <c r="E122" i="59" l="1"/>
  <c r="E121" i="59"/>
  <c r="E124" i="59"/>
  <c r="E129" i="59"/>
  <c r="E123" i="59"/>
  <c r="E125" i="59"/>
  <c r="E120" i="59"/>
  <c r="E119" i="59"/>
  <c r="E128" i="59"/>
  <c r="E126" i="59"/>
  <c r="AB173" i="4"/>
  <c r="AB206" i="4" s="1"/>
  <c r="K36" i="32"/>
  <c r="T25" i="32"/>
  <c r="T32" i="32" s="1"/>
  <c r="N16" i="32"/>
  <c r="N15" i="32"/>
  <c r="N14" i="32"/>
  <c r="N11" i="32"/>
  <c r="N10" i="32"/>
  <c r="F44" i="30"/>
  <c r="F51" i="30" s="1"/>
  <c r="D16" i="30"/>
  <c r="C18" i="30" s="1"/>
  <c r="AM173" i="4" l="1"/>
  <c r="H118" i="59"/>
  <c r="E73" i="59" s="1"/>
  <c r="G73" i="59"/>
  <c r="C84" i="59" s="1"/>
  <c r="D114" i="59" s="1"/>
  <c r="H119" i="59"/>
  <c r="C47" i="30"/>
  <c r="C50" i="30" s="1"/>
  <c r="Q28" i="32"/>
  <c r="C25" i="32" s="1"/>
  <c r="E15" i="30"/>
  <c r="G15" i="30" s="1"/>
  <c r="E14" i="30"/>
  <c r="G14" i="30" s="1"/>
  <c r="E11" i="30"/>
  <c r="G11" i="30" s="1"/>
  <c r="E12" i="30"/>
  <c r="G12" i="30" s="1"/>
  <c r="E13" i="30"/>
  <c r="G13" i="30" s="1"/>
  <c r="N17" i="32"/>
  <c r="E25" i="32" s="1"/>
  <c r="C20" i="30"/>
  <c r="C21" i="30"/>
  <c r="D107" i="59" l="1"/>
  <c r="D115" i="59"/>
  <c r="D108" i="59"/>
  <c r="D110" i="59"/>
  <c r="D109" i="59"/>
  <c r="D112" i="59"/>
  <c r="D113" i="59"/>
  <c r="D111" i="59"/>
  <c r="D106" i="59"/>
  <c r="D56" i="32"/>
  <c r="D54" i="32"/>
  <c r="D50" i="32"/>
  <c r="D48" i="32"/>
  <c r="D47" i="32"/>
  <c r="D52" i="32"/>
  <c r="D55" i="32"/>
  <c r="D53" i="32"/>
  <c r="D51" i="32"/>
  <c r="D49" i="32"/>
  <c r="H16" i="30"/>
  <c r="N18" i="32"/>
  <c r="N19" i="32" s="1"/>
  <c r="N20" i="32"/>
  <c r="F23" i="30"/>
  <c r="F21" i="30"/>
  <c r="F24" i="30"/>
  <c r="F22" i="30"/>
  <c r="K58" i="29"/>
  <c r="V41" i="29" s="1"/>
  <c r="G58" i="29"/>
  <c r="V40" i="29" s="1"/>
  <c r="G51" i="29"/>
  <c r="U40" i="29" s="1"/>
  <c r="K43" i="29"/>
  <c r="V36" i="29" s="1"/>
  <c r="J43" i="29"/>
  <c r="V35" i="29" s="1"/>
  <c r="G43" i="29"/>
  <c r="V34" i="29" s="1"/>
  <c r="F43" i="29"/>
  <c r="V33" i="29" s="1"/>
  <c r="K36" i="29"/>
  <c r="U36" i="29" s="1"/>
  <c r="J36" i="29"/>
  <c r="U35" i="29" s="1"/>
  <c r="G36" i="29"/>
  <c r="U34" i="29" s="1"/>
  <c r="F36" i="29"/>
  <c r="U33" i="29" s="1"/>
  <c r="K28" i="29"/>
  <c r="J28" i="29"/>
  <c r="V29" i="29" s="1"/>
  <c r="G28" i="29"/>
  <c r="V28" i="29" s="1"/>
  <c r="F28" i="29"/>
  <c r="V27" i="29" s="1"/>
  <c r="K26" i="29"/>
  <c r="G26" i="29"/>
  <c r="K21" i="29"/>
  <c r="K51" i="29" s="1"/>
  <c r="U41" i="29" s="1"/>
  <c r="J21" i="29"/>
  <c r="U29" i="29" s="1"/>
  <c r="G21" i="29"/>
  <c r="U28" i="29" s="1"/>
  <c r="F21" i="29"/>
  <c r="U27" i="29" s="1"/>
  <c r="K19" i="29"/>
  <c r="G19" i="29"/>
  <c r="G34" i="29" l="1"/>
  <c r="U31" i="29" s="1"/>
  <c r="U26" i="29"/>
  <c r="K34" i="29"/>
  <c r="U32" i="29" s="1"/>
  <c r="U25" i="29"/>
  <c r="G41" i="29"/>
  <c r="V32" i="29" s="1"/>
  <c r="V26" i="29"/>
  <c r="K56" i="29"/>
  <c r="V38" i="29" s="1"/>
  <c r="V25" i="29"/>
  <c r="H116" i="59"/>
  <c r="F96" i="59" s="1"/>
  <c r="H101" i="59" s="1"/>
  <c r="H91" i="59" s="1"/>
  <c r="D101" i="59" s="1"/>
  <c r="D100" i="59" s="1"/>
  <c r="X97" i="4" s="1"/>
  <c r="H56" i="32"/>
  <c r="G34" i="32" s="1"/>
  <c r="N43" i="32" s="1"/>
  <c r="N29" i="32" s="1"/>
  <c r="H24" i="30"/>
  <c r="C28" i="30" s="1"/>
  <c r="G56" i="29"/>
  <c r="V39" i="29" s="1"/>
  <c r="G49" i="29"/>
  <c r="U39" i="29" s="1"/>
  <c r="K41" i="29"/>
  <c r="V31" i="29" s="1"/>
  <c r="K49" i="29"/>
  <c r="U38" i="29" s="1"/>
  <c r="AI188" i="4"/>
  <c r="AI187" i="4"/>
  <c r="AI69" i="4"/>
  <c r="AI70" i="4" s="1"/>
  <c r="AI68" i="4"/>
  <c r="AI65" i="4"/>
  <c r="AI66" i="4" s="1"/>
  <c r="AI64" i="4"/>
  <c r="AI59" i="4"/>
  <c r="AI60" i="4" s="1"/>
  <c r="AI58" i="4"/>
  <c r="AI55" i="4"/>
  <c r="AI56" i="4" s="1"/>
  <c r="AI54" i="4"/>
  <c r="AI49" i="4"/>
  <c r="AI50" i="4" s="1"/>
  <c r="AI48" i="4"/>
  <c r="AI45" i="4"/>
  <c r="AI46" i="4" s="1"/>
  <c r="AI44" i="4"/>
  <c r="AI32" i="4"/>
  <c r="AI33" i="4" s="1"/>
  <c r="AI31" i="4"/>
  <c r="AI28" i="4"/>
  <c r="AI29" i="4" s="1"/>
  <c r="AI27" i="4"/>
  <c r="AI22" i="4"/>
  <c r="AI23" i="4" s="1"/>
  <c r="AI21" i="4"/>
  <c r="AI18" i="4"/>
  <c r="AI19" i="4" s="1"/>
  <c r="AI17" i="4"/>
  <c r="AI12" i="4"/>
  <c r="AI13" i="4" s="1"/>
  <c r="AI11" i="4"/>
  <c r="AI8" i="4"/>
  <c r="AI9" i="4" s="1"/>
  <c r="AI7" i="4"/>
  <c r="S296" i="4"/>
  <c r="S259" i="4"/>
  <c r="V265" i="4" s="1"/>
  <c r="S221" i="4"/>
  <c r="V186" i="4"/>
  <c r="AB141" i="4"/>
  <c r="AB139" i="4"/>
  <c r="AB123" i="4"/>
  <c r="AB121" i="4"/>
  <c r="D102" i="59" l="1"/>
  <c r="J29" i="32"/>
  <c r="AB201" i="4"/>
  <c r="AB199" i="4"/>
  <c r="T223" i="4"/>
  <c r="AI143" i="4"/>
  <c r="AI144" i="4" s="1"/>
  <c r="V148" i="4" s="1"/>
  <c r="E100" i="30"/>
  <c r="E98" i="30"/>
  <c r="E96" i="30"/>
  <c r="E94" i="30"/>
  <c r="E92" i="30"/>
  <c r="E91" i="30"/>
  <c r="E101" i="30"/>
  <c r="E99" i="30"/>
  <c r="E97" i="30"/>
  <c r="E95" i="30"/>
  <c r="E93" i="30"/>
  <c r="C44" i="32"/>
  <c r="E40" i="32" s="1"/>
  <c r="X88" i="4" s="1"/>
  <c r="C43" i="32"/>
  <c r="AB125" i="4"/>
  <c r="AB204" i="4"/>
  <c r="V277" i="4"/>
  <c r="T261" i="4"/>
  <c r="Y296" i="4"/>
  <c r="V239" i="4"/>
  <c r="V300" i="4" l="1"/>
  <c r="AM198" i="4"/>
  <c r="V303" i="4"/>
  <c r="AM201" i="4"/>
  <c r="AJ125" i="4"/>
  <c r="AJ126" i="4" s="1"/>
  <c r="H91" i="30"/>
  <c r="H90" i="30"/>
  <c r="E28" i="30" s="1"/>
  <c r="G28" i="30"/>
  <c r="C56" i="30" s="1"/>
  <c r="V131" i="4" l="1"/>
  <c r="D86" i="30"/>
  <c r="D84" i="30"/>
  <c r="D82" i="30"/>
  <c r="D80" i="30"/>
  <c r="D78" i="30"/>
  <c r="D87" i="30"/>
  <c r="D85" i="30"/>
  <c r="D83" i="30"/>
  <c r="D81" i="30"/>
  <c r="D79" i="30"/>
  <c r="AB131" i="4" l="1"/>
  <c r="H88" i="30"/>
  <c r="F68" i="30" s="1"/>
  <c r="H73" i="30" s="1"/>
  <c r="AM131" i="4" l="1"/>
  <c r="H63" i="30"/>
  <c r="F63" i="30"/>
  <c r="D74" i="30" l="1"/>
  <c r="D73" i="30"/>
  <c r="D72" i="30" s="1"/>
  <c r="X85" i="4" s="1"/>
  <c r="AF70" i="4" l="1"/>
  <c r="AF66" i="4"/>
  <c r="AF60" i="4"/>
  <c r="AF33" i="4"/>
  <c r="AF23" i="4"/>
  <c r="AF19" i="4"/>
  <c r="AF72" i="4" l="1"/>
  <c r="AF25" i="4"/>
  <c r="AF56" i="4"/>
  <c r="AF62" i="4" s="1"/>
  <c r="AF29" i="4"/>
  <c r="AF35" i="4" s="1"/>
  <c r="AF13" i="4"/>
  <c r="V182" i="4" s="1"/>
  <c r="AB143" i="4" l="1"/>
  <c r="AB148" i="4" s="1"/>
  <c r="AF50" i="4"/>
  <c r="V184" i="4" s="1"/>
  <c r="AF46" i="4"/>
  <c r="V183" i="4" s="1"/>
  <c r="AB205" i="4" l="1"/>
  <c r="AB207" i="4" s="1"/>
  <c r="AM148" i="4"/>
  <c r="AP122" i="4" s="1"/>
  <c r="H6" i="65" s="1"/>
  <c r="AF52" i="4"/>
  <c r="E6" i="65" l="1"/>
  <c r="C3" i="64"/>
  <c r="V229" i="4"/>
  <c r="V267" i="4"/>
  <c r="X107" i="4"/>
  <c r="V185" i="4" s="1"/>
  <c r="D3" i="64" l="1"/>
  <c r="B3" i="64"/>
  <c r="AF74" i="4"/>
  <c r="AF9" i="4"/>
  <c r="V181" i="4" s="1"/>
  <c r="V187" i="4" s="1"/>
  <c r="AJ192" i="4" l="1"/>
  <c r="AJ190" i="4"/>
  <c r="AJ193" i="4"/>
  <c r="AJ191" i="4"/>
  <c r="AB191" i="4" s="1"/>
  <c r="AM191" i="4" s="1"/>
  <c r="AB190" i="4"/>
  <c r="AM190" i="4" s="1"/>
  <c r="X191" i="4"/>
  <c r="X194" i="4"/>
  <c r="X193" i="4"/>
  <c r="X190" i="4"/>
  <c r="AF15" i="4"/>
  <c r="AF37" i="4" s="1"/>
  <c r="AP192" i="4" l="1"/>
  <c r="H11" i="65" s="1"/>
  <c r="AI208" i="4"/>
  <c r="AI225" i="4"/>
  <c r="V227" i="4" s="1"/>
  <c r="E11" i="65" l="1"/>
  <c r="C2" i="64"/>
  <c r="AB210" i="4"/>
  <c r="V231" i="4"/>
  <c r="AI223" i="4" s="1"/>
  <c r="D2" i="64" l="1"/>
  <c r="B2" i="64"/>
  <c r="AI210" i="4"/>
  <c r="AI211" i="4"/>
  <c r="V247" i="4"/>
  <c r="AF222" i="4"/>
  <c r="AI209" i="4"/>
  <c r="AF227" i="4" l="1"/>
  <c r="AF224" i="4"/>
  <c r="AF225" i="4"/>
  <c r="V269" i="4"/>
  <c r="AI261" i="4" s="1"/>
  <c r="AF260" i="4" s="1"/>
  <c r="V285" i="4" l="1"/>
  <c r="AF262" i="4"/>
  <c r="AF263" i="4"/>
  <c r="AF265" i="4"/>
</calcChain>
</file>

<file path=xl/sharedStrings.xml><?xml version="1.0" encoding="utf-8"?>
<sst xmlns="http://schemas.openxmlformats.org/spreadsheetml/2006/main" count="2177" uniqueCount="682">
  <si>
    <t>U1</t>
  </si>
  <si>
    <t>=</t>
  </si>
  <si>
    <t>x</t>
  </si>
  <si>
    <t>(mq)</t>
  </si>
  <si>
    <t>(€/mq)</t>
  </si>
  <si>
    <t>-</t>
  </si>
  <si>
    <t>U2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</si>
  <si>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</si>
  <si>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</si>
  <si>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</si>
  <si>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</si>
  <si>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t>D</t>
  </si>
  <si>
    <t>S</t>
  </si>
  <si>
    <r>
      <t xml:space="preserve">Td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</si>
  <si>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</si>
  <si>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</si>
  <si>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</si>
  <si>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</si>
  <si>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ONERI DI URBANIZZAZIONE PRIMARIA (U1) E SECONDARIA (U2)</t>
  </si>
  <si>
    <t>CONTRIBUTO DI DISINQUINAMENTO (D) E SISTEMAZIONE (S)</t>
  </si>
  <si>
    <t>MSP</t>
  </si>
  <si>
    <t>TOTALE</t>
  </si>
  <si>
    <t>QUOTA SUL COSTO DI COSTRUZIONE (QCC)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</si>
  <si>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 =</t>
    </r>
  </si>
  <si>
    <t>*** Compilare le celle con campitura grigia e testo in rosso ***</t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</si>
  <si>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</si>
  <si>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</si>
  <si>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</si>
  <si>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</si>
  <si>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</si>
  <si>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</si>
  <si>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</si>
  <si>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</si>
  <si>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</si>
  <si>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</si>
  <si>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</si>
  <si>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</si>
  <si>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</si>
  <si>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</si>
  <si>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</si>
  <si>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</si>
  <si>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</si>
  <si>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</si>
  <si>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</si>
  <si>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</si>
  <si>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</si>
  <si>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</si>
  <si>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</si>
  <si>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</si>
  <si>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</si>
  <si>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</si>
  <si>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</si>
  <si>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</si>
  <si>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</si>
  <si>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</si>
  <si>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</si>
  <si>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</si>
  <si>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</si>
  <si>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</si>
  <si>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</si>
  <si>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</si>
  <si>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</si>
  <si>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</si>
  <si>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</si>
  <si>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</si>
  <si>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</si>
  <si>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</si>
  <si>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</si>
  <si>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</si>
  <si>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</si>
  <si>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</si>
  <si>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</si>
  <si>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</si>
  <si>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</si>
  <si>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</si>
  <si>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</si>
  <si>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</si>
  <si>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</si>
  <si>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</si>
  <si>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</si>
  <si>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</si>
  <si>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</si>
  <si>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</si>
  <si>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</si>
  <si>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</si>
  <si>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</si>
  <si>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</si>
  <si>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</si>
  <si>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</si>
  <si>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</si>
  <si>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</si>
  <si>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t>https://wwwt.agenziaentrate.gov.it/geopoi_omi/index.php</t>
  </si>
  <si>
    <t>STATO CONSERVATIVO</t>
  </si>
  <si>
    <t>CONVERSIONE STATO CONSERVATIVO</t>
  </si>
  <si>
    <t>Stato conservativo su OMI-Geopoi</t>
  </si>
  <si>
    <t>Normale</t>
  </si>
  <si>
    <t>K1</t>
  </si>
  <si>
    <t>Ottimo</t>
  </si>
  <si>
    <r>
      <t xml:space="preserve">Valore mercato </t>
    </r>
    <r>
      <rPr>
        <b/>
        <sz val="10"/>
        <rFont val="Calibri"/>
        <family val="2"/>
        <scheme val="minor"/>
      </rPr>
      <t xml:space="preserve">MIN </t>
    </r>
    <r>
      <rPr>
        <sz val="10"/>
        <rFont val="Calibri"/>
        <family val="2"/>
        <scheme val="minor"/>
      </rPr>
      <t>(€/mq)</t>
    </r>
  </si>
  <si>
    <r>
      <t xml:space="preserve">Valore mercato </t>
    </r>
    <r>
      <rPr>
        <b/>
        <sz val="10"/>
        <rFont val="Calibri"/>
        <family val="2"/>
        <scheme val="minor"/>
      </rPr>
      <t xml:space="preserve">MAX </t>
    </r>
    <r>
      <rPr>
        <sz val="10"/>
        <rFont val="Calibri"/>
        <family val="2"/>
        <scheme val="minor"/>
      </rPr>
      <t>(€/mq)</t>
    </r>
  </si>
  <si>
    <t>Scadente</t>
  </si>
  <si>
    <t>VALORE OMI MEDIO (€/mq)</t>
  </si>
  <si>
    <t>K3</t>
  </si>
  <si>
    <t>Abitazioni civili</t>
  </si>
  <si>
    <t>Abitazioni di tipo economico</t>
  </si>
  <si>
    <t>Abitazioni signorili</t>
  </si>
  <si>
    <t>Abitazioni tipiche dei luoghi</t>
  </si>
  <si>
    <t>Ville e villini</t>
  </si>
  <si>
    <t>Tipologia edilizia su OMI-Geopoi</t>
  </si>
  <si>
    <r>
      <t xml:space="preserve">A </t>
    </r>
    <r>
      <rPr>
        <b/>
        <sz val="11"/>
        <rFont val="Calibri"/>
        <family val="2"/>
      </rPr>
      <t>= Val. OMI med x 0,475 =</t>
    </r>
  </si>
  <si>
    <t>€/mq</t>
  </si>
  <si>
    <t>Tipologia edilizia di progetto</t>
  </si>
  <si>
    <t xml:space="preserve">4) Calcolare il costo di costruzione unitario maggiorato B </t>
  </si>
  <si>
    <t xml:space="preserve">B = A x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</si>
  <si>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</si>
  <si>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</si>
  <si>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</si>
  <si>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</si>
  <si>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t>QCC = (B x P) x SC x % riduzione</t>
  </si>
  <si>
    <t>Se B x P è minore di 25 €/mq allora B x P è da considerarsi pari a 25 €/mq                                P x B è</t>
  </si>
  <si>
    <t>B x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</si>
  <si>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</si>
  <si>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</si>
  <si>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</si>
  <si>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</si>
  <si>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</si>
  <si>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</si>
  <si>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</si>
  <si>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t>SI</t>
  </si>
  <si>
    <r>
      <t xml:space="preserve">QCC = (B x P) x SC x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</si>
  <si>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r>
      <t xml:space="preserve">QCC = (B * P) * SC * </t>
    </r>
    <r>
      <rPr>
        <b/>
        <sz val="9"/>
        <color theme="0" tint="-0.249977111117893"/>
        <rFont val="Calibri"/>
        <family val="2"/>
      </rPr>
      <t xml:space="preserve">% riduzione =        </t>
    </r>
  </si>
  <si>
    <t>Tabella 4 - Percentuale P in relazione al costo di costruzione unitario maggiorato B</t>
  </si>
  <si>
    <t>Classi di valori imponibili “B” (€/mq)</t>
  </si>
  <si>
    <t>%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</si>
  <si>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</si>
  <si>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</si>
  <si>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</si>
  <si>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</si>
  <si>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</si>
  <si>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</si>
  <si>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</si>
  <si>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</si>
  <si>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</si>
  <si>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</si>
  <si>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</si>
  <si>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</si>
  <si>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 =</t>
    </r>
  </si>
  <si>
    <t>1) Calcolare l’incidenza totale dei lavori da eseguire (i) seguendo la Tabella 5</t>
  </si>
  <si>
    <t>Incidenza delle singole categorie di lavori da eseguire</t>
  </si>
  <si>
    <t>Stima della incidenza dei lavori (%)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</si>
  <si>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</si>
  <si>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</si>
  <si>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</si>
  <si>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</si>
  <si>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</si>
  <si>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</si>
  <si>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</si>
  <si>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</si>
  <si>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</si>
  <si>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</si>
  <si>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</si>
  <si>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</si>
  <si>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 xml:space="preserve">2)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</si>
  <si>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 =</t>
    </r>
  </si>
  <si>
    <t>3) Calcolare il QCC relativo al costo di costruzione:</t>
  </si>
  <si>
    <t>QCC = (A x P) x SC x (i) x % riduzione</t>
  </si>
  <si>
    <r>
      <t xml:space="preserve">Se A x P è minore di 25 €/mq allora A x P è da considerarsi pari a 25 €/mq.                                   </t>
    </r>
    <r>
      <rPr>
        <sz val="10"/>
        <rFont val="Calibri"/>
        <family val="2"/>
      </rPr>
      <t xml:space="preserve"> A x P è</t>
    </r>
  </si>
  <si>
    <t>A x P =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</si>
  <si>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</si>
  <si>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</si>
  <si>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</si>
  <si>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</si>
  <si>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</si>
  <si>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</si>
  <si>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</si>
  <si>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</si>
  <si>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t xml:space="preserve">QCC = (A x P) x SC x (i) x % riduzione =       </t>
  </si>
  <si>
    <t xml:space="preserve">QCC = A * P * SC * (i) * % riduzione =        </t>
  </si>
  <si>
    <t>€</t>
  </si>
  <si>
    <t>Tabella 6 - Percentuale P in relazione al costo di costruzione unitario A</t>
  </si>
  <si>
    <t>Classi di valori imponibili “A” (€/mq)</t>
  </si>
  <si>
    <t xml:space="preserve">1)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</si>
  <si>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</t>
    </r>
  </si>
  <si>
    <t>2) Calcolare il QCC relativo al costo di costruzione:</t>
  </si>
  <si>
    <r>
      <t xml:space="preserve">Valore mercato </t>
    </r>
    <r>
      <rPr>
        <b/>
        <sz val="10"/>
        <rFont val="Calibri"/>
        <family val="2"/>
        <scheme val="minor"/>
      </rPr>
      <t>MIN</t>
    </r>
    <r>
      <rPr>
        <sz val="10"/>
        <rFont val="Calibri"/>
        <family val="2"/>
        <scheme val="minor"/>
      </rPr>
      <t xml:space="preserve"> (€/mq)</t>
    </r>
  </si>
  <si>
    <t>FUNZIONE (Uso)</t>
  </si>
  <si>
    <t>K2</t>
  </si>
  <si>
    <t>PARAMETRO DI CONVERSIONE VERSO USI NON RESIDENZIALI</t>
  </si>
  <si>
    <t>QCC = A x SC x % uso x % riduzione</t>
  </si>
  <si>
    <r>
      <t xml:space="preserve">Valore mercato </t>
    </r>
    <r>
      <rPr>
        <b/>
        <sz val="10"/>
        <rFont val="Calibri"/>
        <family val="2"/>
        <scheme val="minor"/>
      </rPr>
      <t>MAX</t>
    </r>
    <r>
      <rPr>
        <sz val="10"/>
        <rFont val="Calibri"/>
        <family val="2"/>
        <scheme val="minor"/>
      </rPr>
      <t xml:space="preserve"> (€/mq)</t>
    </r>
  </si>
  <si>
    <t>Funzione presente su OMI-Geopoi*</t>
  </si>
  <si>
    <t>Negozi</t>
  </si>
  <si>
    <t>Residenziale Abitazioni Civili</t>
  </si>
  <si>
    <t>Centri commerciali</t>
  </si>
  <si>
    <t>Uffici</t>
  </si>
  <si>
    <t>Funzione di progetto</t>
  </si>
  <si>
    <t>SC = mq</t>
  </si>
  <si>
    <r>
      <rPr>
        <b/>
        <sz val="10"/>
        <rFont val="Calibri"/>
        <family val="2"/>
      </rPr>
      <t>% uso:</t>
    </r>
    <r>
      <rPr>
        <sz val="10"/>
        <rFont val="Calibri"/>
        <family val="2"/>
      </rPr>
      <t xml:space="preserve"> indicare la destinazione d'uso di progetto da RUE (es: Uga, Ugb, Ugc, Ue, Ud ecc..)</t>
    </r>
  </si>
  <si>
    <r>
      <t>Uso</t>
    </r>
    <r>
      <rPr>
        <sz val="10"/>
        <rFont val="Calibri"/>
        <family val="2"/>
        <scheme val="minor"/>
      </rPr>
      <t xml:space="preserve"> </t>
    </r>
  </si>
  <si>
    <t>Ugc</t>
  </si>
  <si>
    <t>QCC = A x SC x % uso x % riduzione =</t>
  </si>
  <si>
    <t>QCC = A * SC  * ….% * % riduzione =</t>
  </si>
  <si>
    <t>Uga</t>
  </si>
  <si>
    <t>Ugb</t>
  </si>
  <si>
    <t>Ugd</t>
  </si>
  <si>
    <t>Uge</t>
  </si>
  <si>
    <t>Ue</t>
  </si>
  <si>
    <t>Uh</t>
  </si>
  <si>
    <t>Ud</t>
  </si>
  <si>
    <t>Ui</t>
  </si>
  <si>
    <t>Ul</t>
  </si>
  <si>
    <t>Um</t>
  </si>
  <si>
    <t>Un</t>
  </si>
  <si>
    <t>Uo</t>
  </si>
  <si>
    <t>Up</t>
  </si>
  <si>
    <t>Uu</t>
  </si>
  <si>
    <t>Uz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</si>
  <si>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 =</t>
    </r>
  </si>
  <si>
    <r>
      <t xml:space="preserve">A </t>
    </r>
    <r>
      <rPr>
        <b/>
        <sz val="11"/>
        <rFont val="Calibri"/>
        <family val="2"/>
      </rPr>
      <t>= Val. OMI med. x 0,475</t>
    </r>
  </si>
  <si>
    <t>QCC = A x SC x (i) x 0,5 x % uso x % riduzione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</si>
  <si>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</si>
  <si>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</si>
  <si>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alibri"/>
        <family val="2"/>
      </rPr>
      <t xml:space="preserve">% uso: </t>
    </r>
    <r>
      <rPr>
        <sz val="10"/>
        <rFont val="Calibri"/>
        <family val="2"/>
      </rPr>
      <t>indicare la destinazione d'uso di progetto da RUE (es: Uga, Ugb, Ugc, Ue, Ud ecc..)</t>
    </r>
  </si>
  <si>
    <t>Uso</t>
  </si>
  <si>
    <t xml:space="preserve">QCC = A x SC x (i) x 0,5 x % uso x % riduzione = </t>
  </si>
  <si>
    <t>QCC = A * SC * (i) * 0,5 * ….% * % riduzione =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</si>
  <si>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(D)</t>
    </r>
    <r>
      <rPr>
        <b/>
        <sz val="10"/>
        <color theme="1"/>
        <rFont val="Calibri"/>
        <family val="2"/>
        <scheme val="minor"/>
      </rPr>
      <t xml:space="preserve"> =</t>
    </r>
  </si>
  <si>
    <t>(B x P) x SC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</si>
  <si>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QCC(A)</t>
    </r>
  </si>
  <si>
    <t xml:space="preserve"> (A x P) x SC x (i)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</si>
  <si>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QCC(B)</t>
    </r>
  </si>
  <si>
    <t>A x SC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</si>
  <si>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QCC(C)</t>
    </r>
  </si>
  <si>
    <t>A x SC x (i) x 0,5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</si>
  <si>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QCC(D)</t>
    </r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</si>
  <si>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</si>
  <si>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</si>
  <si>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TOTALE QCC</t>
  </si>
  <si>
    <t>(scomputo variabile)</t>
  </si>
  <si>
    <t>TOTALE U1/U2</t>
  </si>
  <si>
    <t>Kd</t>
  </si>
  <si>
    <t>Ks</t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</si>
  <si>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</si>
  <si>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</si>
  <si>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</si>
  <si>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</si>
  <si>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</si>
  <si>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</si>
  <si>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</si>
  <si>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</si>
  <si>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</si>
  <si>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</si>
  <si>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 = (A2 - A1) x 0,475</t>
  </si>
  <si>
    <t>A1</t>
  </si>
  <si>
    <t>A2</t>
  </si>
  <si>
    <t>2) Calcolare il valore OMI medio per la funzione allo stato di progetto (residenziale) = A2</t>
  </si>
  <si>
    <t xml:space="preserve">3) Calcolare il costo di costruzione convenzionale unitario A (come definito al punto 5.3.5 della DAL 186/2018) </t>
  </si>
  <si>
    <t xml:space="preserve">5) Calcolare l’incremento i e la maggiorazione M </t>
  </si>
  <si>
    <t xml:space="preserve">6) Calcolare il costo di costruzione unitario maggiorato B </t>
  </si>
  <si>
    <t>7) Calcolare il QCC relativo al costo di costruzione:</t>
  </si>
  <si>
    <t>4) Calcolare gli incrementi i1 e i2 seguendo le Tabelle1 e 2 (inserire i dati di progetto: n° alloggi, SU, SA)</t>
  </si>
  <si>
    <t>1) Calcolare il valore OMI medio per la funzione allo STATO DI FATTO (residenziale) = A1</t>
  </si>
  <si>
    <t>4) Calcolare il QCC relativo al costo di costruzione:</t>
  </si>
  <si>
    <t>Area dotazione</t>
  </si>
  <si>
    <t>[mq]</t>
  </si>
  <si>
    <t>[€]</t>
  </si>
  <si>
    <t>Importo [€] della monetizzazione</t>
  </si>
  <si>
    <t>QCC(A)</t>
  </si>
  <si>
    <t>QCC(B)</t>
  </si>
  <si>
    <t>QCC(D)</t>
  </si>
  <si>
    <t>QCC(C)</t>
  </si>
  <si>
    <t>QCC(A.bis)</t>
  </si>
  <si>
    <t>QCC(C.bis)</t>
  </si>
  <si>
    <t>QCC(C.ter)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</si>
  <si>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</si>
  <si>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</si>
  <si>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</si>
  <si>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</si>
  <si>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</si>
  <si>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</si>
  <si>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§</t>
  </si>
  <si>
    <t>Area (SdF)</t>
  </si>
  <si>
    <t>Area (SdP)</t>
  </si>
  <si>
    <t>Versamento Rata n. 2</t>
  </si>
  <si>
    <t>Versamento Rata n. 3</t>
  </si>
  <si>
    <t>TOTALE D+S</t>
  </si>
  <si>
    <t>TOTALE DOTAZIONE (Area)</t>
  </si>
  <si>
    <t>Lettera a)</t>
  </si>
  <si>
    <r>
      <t xml:space="preserve">Solo </t>
    </r>
    <r>
      <rPr>
        <b/>
        <sz val="10"/>
        <color theme="1"/>
        <rFont val="Calibri"/>
        <family val="2"/>
        <scheme val="minor"/>
      </rPr>
      <t>nei casi di esonero del Contributo di Costruzione</t>
    </r>
    <r>
      <rPr>
        <sz val="10"/>
        <color theme="1"/>
        <rFont val="Calibri"/>
        <family val="2"/>
        <scheme val="minor"/>
      </rPr>
      <t xml:space="preserve"> (art. 32 L.R. n. 15/2013) </t>
    </r>
    <r>
      <rPr>
        <b/>
        <sz val="10"/>
        <color theme="1"/>
        <rFont val="Calibri"/>
        <family val="2"/>
        <scheme val="minor"/>
      </rPr>
      <t>non si procede al raddoppio</t>
    </r>
    <r>
      <rPr>
        <sz val="10"/>
        <color theme="1"/>
        <rFont val="Calibri"/>
        <family val="2"/>
        <scheme val="minor"/>
      </rPr>
      <t xml:space="preserve"> ma resta valido il </t>
    </r>
    <r>
      <rPr>
        <b/>
        <sz val="10"/>
        <color theme="1"/>
        <rFont val="Calibri"/>
        <family val="2"/>
        <scheme val="minor"/>
      </rPr>
      <t>minimo di € 2.000</t>
    </r>
  </si>
  <si>
    <t>Lettera b)</t>
  </si>
  <si>
    <t>Interventi di nuova costruzione (NC) e ristrutturazione edilizia (RE)</t>
  </si>
  <si>
    <t>Interventi di restauro scientifico, restauro e risanamento conservativo (RS-RRS)</t>
  </si>
  <si>
    <r>
      <t xml:space="preserve">In ogni caso </t>
    </r>
    <r>
      <rPr>
        <b/>
        <sz val="10"/>
        <color theme="1"/>
        <rFont val="Calibri"/>
        <family val="2"/>
        <scheme val="minor"/>
      </rPr>
      <t>deve essere sviluppato il calcolo</t>
    </r>
    <r>
      <rPr>
        <sz val="10"/>
        <color theme="1"/>
        <rFont val="Calibri"/>
        <family val="2"/>
        <scheme val="minor"/>
      </rPr>
      <t xml:space="preserve"> al fine di dimostrare, eventualmente, che l'importo risulti inferiore a € 2.000</t>
    </r>
  </si>
  <si>
    <t>Lettera c)</t>
  </si>
  <si>
    <t>Manutenzione straordinaria e assimilabili (MS)</t>
  </si>
  <si>
    <r>
      <t xml:space="preserve">Lettera </t>
    </r>
    <r>
      <rPr>
        <b/>
        <sz val="11"/>
        <color theme="1"/>
        <rFont val="Calibri"/>
        <family val="2"/>
        <scheme val="minor"/>
      </rPr>
      <t>a)</t>
    </r>
  </si>
  <si>
    <r>
      <t xml:space="preserve">Lettera </t>
    </r>
    <r>
      <rPr>
        <b/>
        <sz val="11"/>
        <color theme="1"/>
        <rFont val="Calibri"/>
        <family val="2"/>
        <scheme val="minor"/>
      </rPr>
      <t>b)</t>
    </r>
  </si>
  <si>
    <r>
      <t xml:space="preserve">Lettera </t>
    </r>
    <r>
      <rPr>
        <b/>
        <sz val="11"/>
        <color theme="1"/>
        <rFont val="Calibri"/>
        <family val="2"/>
        <scheme val="minor"/>
      </rPr>
      <t>c)</t>
    </r>
  </si>
  <si>
    <t>Tipologia sanatoria</t>
  </si>
  <si>
    <t>Riferimento normativo</t>
  </si>
  <si>
    <t>Tipologia d'intervento</t>
  </si>
  <si>
    <t>OBLAZIONE</t>
  </si>
  <si>
    <t>SELEZIONARE LA TIPOLOGIA DI SANATORIA</t>
  </si>
  <si>
    <t>Interventi su edifici esistenti ad uso residenziale</t>
  </si>
  <si>
    <t>Interventi su edifici esistenti ad uso NON residenziale</t>
  </si>
  <si>
    <t>Nuova costruzione (o RE con demolizione e ricostruzione) ad uso residenziale</t>
  </si>
  <si>
    <t>Nuova costruzione (o RE con demolizione e ricostruzione) ad uso NON residenziale</t>
  </si>
  <si>
    <t>COMPILARE LA SCHEDA QCC(x) CORRISPONDENTE ALLA TIPOLOGIA D'INTERVENTO E ALLA DESTINAZIONE D'USO</t>
  </si>
  <si>
    <t>(scomputo T.U.  35%)</t>
  </si>
  <si>
    <r>
      <t xml:space="preserve">%V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</si>
  <si>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(scomputo T.U. 35%)</t>
  </si>
  <si>
    <t>Versamento Rata n. 1 + Fidejussione importi residui</t>
  </si>
  <si>
    <t>Importo fidejussione</t>
  </si>
  <si>
    <t>da € 0,00 a € 4.000</t>
  </si>
  <si>
    <t>da € 4.001 a € 6.000</t>
  </si>
  <si>
    <t>da € 6.001 a € 8.000</t>
  </si>
  <si>
    <t>da € 8.001 a € 11.000</t>
  </si>
  <si>
    <t>da € 11.001 a € 14.000</t>
  </si>
  <si>
    <t>da € 14.001 a € 17.000</t>
  </si>
  <si>
    <t>da € 17.001 a € 20.000</t>
  </si>
  <si>
    <t>da € 20.001 a € 24.000</t>
  </si>
  <si>
    <t>oltre € 24.000</t>
  </si>
  <si>
    <t>●</t>
  </si>
  <si>
    <t>U1/U2</t>
  </si>
  <si>
    <t>QCC</t>
  </si>
  <si>
    <t>CONTRIBUTO D</t>
  </si>
  <si>
    <t>CONTRIBUTO S</t>
  </si>
  <si>
    <t>CONTRIBUTO STRAORDINARIO</t>
  </si>
  <si>
    <t>CS</t>
  </si>
  <si>
    <t>MONETIZZAZIONE</t>
  </si>
  <si>
    <t>MONETIZZAZIONE DOTAZIONI/STANDARD PUBBLICI</t>
  </si>
  <si>
    <t>MODALITA' DI VERSAMENTO</t>
  </si>
  <si>
    <t>TIPOLOGIA DI SANATORIA</t>
  </si>
  <si>
    <t>CONTRIBUTO DI COSTRUZIONE (CdC)</t>
  </si>
  <si>
    <t>CALCOLO OBLAZIONE AI SENSI DELL'ART. 17 COMMA 3 LEGGE REGIONALE N. 23/2004 E MONETIZZAZIONE</t>
  </si>
  <si>
    <t>QCC (A)</t>
  </si>
  <si>
    <t>Costo di Costruzione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</si>
  <si>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</t>
    </r>
  </si>
  <si>
    <r>
      <t xml:space="preserve">QCC (A.bis)            </t>
    </r>
    <r>
      <rPr>
        <b/>
        <sz val="12"/>
        <rFont val="Calibri (Corpo)_x0000_"/>
      </rPr>
      <t>Costo di Costruzione</t>
    </r>
  </si>
  <si>
    <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</si>
  <si>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r>
      <t xml:space="preserve">Categoria funzionale di </t>
    </r>
    <r>
      <rPr>
        <b/>
        <i/>
        <u/>
        <sz val="11"/>
        <rFont val="Calibri (Corpo)_x0000_"/>
      </rPr>
      <t>progetto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</si>
  <si>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1) Calcolare il valore OMI medio per la funzione allo stato di fatto (diversa dalla residenza) = A1</t>
  </si>
  <si>
    <t>QCC (B)</t>
  </si>
  <si>
    <r>
      <t xml:space="preserve">QCC (C.bis)              </t>
    </r>
    <r>
      <rPr>
        <b/>
        <sz val="12"/>
        <rFont val="Calibri (Corpo)_x0000_"/>
      </rPr>
      <t>Costo di Costruzione</t>
    </r>
  </si>
  <si>
    <r>
      <rPr>
        <b/>
        <i/>
        <sz val="11"/>
        <rFont val="Calibri"/>
        <family val="2"/>
        <scheme val="minor"/>
      </rP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</si>
  <si>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2) Calcolare il valore OMI medio per la funzione allo stato di PROGETTO (diversa dalla residenza) = A2</t>
  </si>
  <si>
    <r>
      <t xml:space="preserve">QCC (C.ter)                </t>
    </r>
    <r>
      <rPr>
        <b/>
        <sz val="12"/>
        <rFont val="Calibri (Corpo)_x0000_"/>
      </rPr>
      <t>Costo di Costruzione</t>
    </r>
  </si>
  <si>
    <t>1) Calcolare il valore OMI medio per la funzione allo STATO DI FATTO (diversa dalla residenza) = A1</t>
  </si>
  <si>
    <t>QCC (D)</t>
  </si>
  <si>
    <t>RIEPILOGO OBLAZIONE E MODALITA' DI VERSAMENTO - Lettera a)</t>
  </si>
  <si>
    <t>RIEPILOGO OBLAZIONE E MODALITA' DI VERSAMENTO - Lettera b)</t>
  </si>
  <si>
    <t>RIEPILOGO OBLAZIONE E MODALITA' DI VERSAMENTO - Lettera c)</t>
  </si>
  <si>
    <t xml:space="preserve">Dotazione [mq] </t>
  </si>
  <si>
    <t>Entro 9 mesi dalla presentazione della SCIA o dal rilascio del PdC</t>
  </si>
  <si>
    <t>Entro 18 mesi dalla presentazione della SCIA o dal rilascio del PdC</t>
  </si>
  <si>
    <t>Al momento della presentazione della SCIA o entro 30 gg dal rilascio del PdC</t>
  </si>
  <si>
    <r>
      <t xml:space="preserve">Tabella 5 – Stima dell’incidenza delle opere </t>
    </r>
    <r>
      <rPr>
        <b/>
        <sz val="10"/>
        <color rgb="FFFF0000"/>
        <rFont val="Calibri"/>
        <family val="2"/>
        <scheme val="minor"/>
      </rPr>
      <t>(indicare con 1  le ipotesi che ricorrono)</t>
    </r>
  </si>
  <si>
    <t>Da versare:</t>
  </si>
  <si>
    <t xml:space="preserve">Al momento della presentazione della SCIA </t>
  </si>
  <si>
    <t>o entro 30 gg dal rilascio del PdC</t>
  </si>
  <si>
    <t>oppure secondo i piani di rateizzazione</t>
  </si>
  <si>
    <r>
      <rPr>
        <b/>
        <sz val="10"/>
        <color theme="1"/>
        <rFont val="Calibri"/>
        <family val="2"/>
        <scheme val="minor"/>
      </rPr>
      <t>NC</t>
    </r>
    <r>
      <rPr>
        <sz val="10"/>
        <color theme="1"/>
        <rFont val="Calibri"/>
        <family val="2"/>
        <scheme val="minor"/>
      </rPr>
      <t xml:space="preserve"> nuova costruzione, </t>
    </r>
    <r>
      <rPr>
        <b/>
        <sz val="10"/>
        <color theme="1"/>
        <rFont val="Calibri"/>
        <family val="2"/>
        <scheme val="minor"/>
      </rPr>
      <t>RU</t>
    </r>
    <r>
      <rPr>
        <sz val="10"/>
        <color theme="1"/>
        <rFont val="Calibri"/>
        <family val="2"/>
        <scheme val="minor"/>
      </rPr>
      <t xml:space="preserve"> ristrutturazione urbanistica</t>
    </r>
  </si>
  <si>
    <r>
      <rPr>
        <b/>
        <sz val="10"/>
        <color theme="1"/>
        <rFont val="Calibri"/>
        <family val="2"/>
        <scheme val="minor"/>
      </rPr>
      <t>RE (+)</t>
    </r>
    <r>
      <rPr>
        <sz val="10"/>
        <color theme="1"/>
        <rFont val="Calibri"/>
        <family val="2"/>
        <scheme val="minor"/>
      </rPr>
      <t xml:space="preserve"> ristrutturazione edilizia con aumento di CU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</si>
  <si>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</t>
    </r>
  </si>
  <si>
    <t>Residenziale, Turistico ricettiva, Direzionale</t>
  </si>
  <si>
    <t>Uf, Uh, Ud</t>
  </si>
  <si>
    <t>Aree esterne al T.U.</t>
  </si>
  <si>
    <t>Aree permeabili (…)</t>
  </si>
  <si>
    <t>Aree interne al T.U.</t>
  </si>
  <si>
    <t>Produttiva, Commerciale all'ingrosso, Rurale</t>
  </si>
  <si>
    <t>Uc, Ua, Ub</t>
  </si>
  <si>
    <r>
      <t xml:space="preserve">Funzione di progetto   </t>
    </r>
    <r>
      <rPr>
        <b/>
        <sz val="8"/>
        <color theme="1"/>
        <rFont val="Wingdings"/>
        <charset val="2"/>
      </rPr>
      <t>à</t>
    </r>
  </si>
  <si>
    <t>Residenziale, turistica, direzionale</t>
  </si>
  <si>
    <t>Commerciale al dettaglio e altre</t>
  </si>
  <si>
    <t>Produttiva, ingrosso, rurale</t>
  </si>
  <si>
    <t>Aree esterne al TU</t>
  </si>
  <si>
    <t>Aree interne al TU</t>
  </si>
  <si>
    <t>U1 (€/mq)</t>
  </si>
  <si>
    <t>Turistico ricettiva, impianti sportivi e ricreativi</t>
  </si>
  <si>
    <t>Commerciale e pubblici esercizi</t>
  </si>
  <si>
    <t>U2 (€/mq)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</si>
  <si>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RESIDENZA</t>
    </r>
  </si>
  <si>
    <t>PRODURRE STAMPA PDF DEI VALORI OMI</t>
  </si>
  <si>
    <t>REPERITI SU PIATTAFORMA GEOPOI / ADE</t>
  </si>
  <si>
    <t>PRODURRE PLANIMETRIE CON LA QUANTIFICAZIONE GRAFICA/ANALITICA DI SU E SA</t>
  </si>
  <si>
    <t>PRODURRE STAMPA PDF DEI VALORI OMI GEOPOI / ADE</t>
  </si>
  <si>
    <t>Incidenza (i1)</t>
  </si>
  <si>
    <r>
      <rPr>
        <b/>
        <i/>
        <sz val="11"/>
        <rFont val="Calibri"/>
        <family val="2"/>
        <scheme val="minor"/>
      </rPr>
      <t>Categoria funzionale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</si>
  <si>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t>PRODURRE STAMPA PDF VALORI OMI GEOPOI / ADE</t>
  </si>
  <si>
    <r>
      <t>Tabella 5 – Stima dell’incidenza delle opere</t>
    </r>
    <r>
      <rPr>
        <b/>
        <sz val="10"/>
        <color rgb="FFFF0000"/>
        <rFont val="Calibri"/>
        <family val="2"/>
        <scheme val="minor"/>
      </rPr>
      <t xml:space="preserve"> (indicare con 1  le ipotesi che ricorrono)</t>
    </r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</si>
  <si>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>CONTRIBUTI D-S</t>
    </r>
  </si>
  <si>
    <r>
      <t xml:space="preserve">sul parametro </t>
    </r>
    <r>
      <rPr>
        <b/>
        <sz val="10"/>
        <color theme="1"/>
        <rFont val="Calibri"/>
        <family val="2"/>
        <scheme val="minor"/>
      </rPr>
      <t>"AI" (Area d'insediamento all'aperto)</t>
    </r>
  </si>
  <si>
    <t>CONTRIBUTO "D"</t>
  </si>
  <si>
    <t>CONTRIBUTO "S"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</si>
  <si>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COMMERCIALE, TURISTICO RICETTIVA, DIREZIONALE, FORNITRICE DI SERVIZI, DI CARATTERE NON ARTIGIANALE</t>
    </r>
  </si>
  <si>
    <r>
      <rPr>
        <b/>
        <i/>
        <sz val="11"/>
        <rFont val="Calibri"/>
        <family val="2"/>
        <scheme val="minor"/>
      </rPr>
      <t>Categoria funzionale di</t>
    </r>
    <r>
      <rPr>
        <b/>
        <i/>
        <u/>
        <sz val="11"/>
        <rFont val="Calibri (Corpo)_x0000_"/>
      </rPr>
      <t>progetto</t>
    </r>
    <r>
      <rPr>
        <b/>
        <sz val="11"/>
        <rFont val="Calibri"/>
        <family val="2"/>
        <scheme val="minor"/>
      </rPr>
      <t>: COMMERCIALE, TURISTICO RICETTIVA, DIREZIONALE, FORNITRICE DI SERVIZI, DI CARATTERE NON ARTIGIANALE</t>
    </r>
  </si>
  <si>
    <r>
      <t xml:space="preserve">Valori OMI reperiti su Geopoi (Agenzia Entrate) </t>
    </r>
    <r>
      <rPr>
        <b/>
        <sz val="10"/>
        <color rgb="FFFF0000"/>
        <rFont val="Calibri"/>
        <family val="2"/>
        <scheme val="minor"/>
      </rPr>
      <t>*</t>
    </r>
  </si>
  <si>
    <r>
      <t>Valori OMI reperiti su Geopoi (Agenzia Entrate)</t>
    </r>
    <r>
      <rPr>
        <b/>
        <sz val="10"/>
        <color rgb="FFFF0000"/>
        <rFont val="Calibri"/>
        <family val="2"/>
        <scheme val="minor"/>
      </rPr>
      <t xml:space="preserve"> *</t>
    </r>
  </si>
  <si>
    <t>MONETIZZAZIONE PARCHEGGI PRIVATI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</si>
  <si>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</si>
  <si>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</si>
  <si>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</si>
  <si>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</si>
  <si>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</si>
  <si>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</si>
  <si>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Oneri U1</t>
  </si>
  <si>
    <t>Oneri U2</t>
  </si>
  <si>
    <t>Contributo D</t>
  </si>
  <si>
    <t>inserire valore (se dovuto)</t>
  </si>
  <si>
    <t>Contributo S</t>
  </si>
  <si>
    <t>STRAORDINARIO</t>
  </si>
  <si>
    <t>Quota sul Costo di Costruzione</t>
  </si>
  <si>
    <r>
      <t xml:space="preserve">Il </t>
    </r>
    <r>
      <rPr>
        <b/>
        <sz val="8"/>
        <rFont val="Calibri"/>
        <family val="2"/>
        <scheme val="minor"/>
      </rPr>
      <t>Contributo Straordinario (CS)</t>
    </r>
    <r>
      <rPr>
        <sz val="8"/>
        <rFont val="Calibri"/>
        <family val="2"/>
        <scheme val="minor"/>
      </rPr>
      <t>, se dovuto</t>
    </r>
  </si>
  <si>
    <t>nei casi previsti di cui all'art. 4 DAL 186/2018,</t>
  </si>
  <si>
    <t>Contributo Straordinario</t>
  </si>
  <si>
    <r>
      <rPr>
        <b/>
        <sz val="8"/>
        <rFont val="Calibri"/>
        <family val="2"/>
        <scheme val="minor"/>
      </rPr>
      <t>deve essere quantificato e relazionato a parte</t>
    </r>
    <r>
      <rPr>
        <sz val="8"/>
        <rFont val="Calibri"/>
        <family val="2"/>
        <scheme val="minor"/>
      </rPr>
      <t>.</t>
    </r>
  </si>
  <si>
    <t>CITTA' PUBBLICA</t>
  </si>
  <si>
    <r>
      <t xml:space="preserve">Il </t>
    </r>
    <r>
      <rPr>
        <b/>
        <sz val="8"/>
        <rFont val="Calibri"/>
        <family val="2"/>
        <scheme val="minor"/>
      </rPr>
      <t>Contributo Città Pubblica (CP)</t>
    </r>
    <r>
      <rPr>
        <sz val="8"/>
        <rFont val="Calibri"/>
        <family val="2"/>
        <scheme val="minor"/>
      </rPr>
      <t>, se dovuto</t>
    </r>
  </si>
  <si>
    <t>nei casi previsti di cui agli artt. 1.2.9 e 1.2.4 del RUE,</t>
  </si>
  <si>
    <t>MONETIZZAZIONE STANDARD PUBBLICI</t>
  </si>
  <si>
    <t xml:space="preserve">Mtot </t>
  </si>
  <si>
    <t>TOTALE MONETIZZAZIONE DOTAZIONI</t>
  </si>
  <si>
    <t>Mtot</t>
  </si>
  <si>
    <t>Al momento della presentazione della SCIA</t>
  </si>
  <si>
    <t>CP</t>
  </si>
  <si>
    <t>(importo non rateizzabile ai sensi della DD 2383/2020)</t>
  </si>
  <si>
    <t>Da versare in unica soluzione al momento di presentazione del titolo edilizio</t>
  </si>
  <si>
    <t>ONERI DI URBANIZZAZIONE</t>
  </si>
  <si>
    <t>QUOTA SUL COSTO DI COSTRUZIONE</t>
  </si>
  <si>
    <t>CONTRIBUTO CITTA' PUBBLICA</t>
  </si>
  <si>
    <t>TOTALE (Oblazione/CS + Mtot + CP)</t>
  </si>
  <si>
    <t>TOTALE tranne CP</t>
  </si>
  <si>
    <t>Cambi d'uso senza opere con aumento CU, verso uso residenziale</t>
  </si>
  <si>
    <t>NC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</si>
  <si>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 xml:space="preserve">ONERI U1-U2 </t>
    </r>
  </si>
  <si>
    <t>RE + CU</t>
  </si>
  <si>
    <t>Produttiva/Rurale svolta da non avente titolo</t>
  </si>
  <si>
    <t>RE - CU</t>
  </si>
  <si>
    <t>MU SenzaOpere + CU</t>
  </si>
  <si>
    <t>MU ConOpere + CU</t>
  </si>
  <si>
    <t>AI</t>
  </si>
  <si>
    <t>Td</t>
  </si>
  <si>
    <t>Ts</t>
  </si>
  <si>
    <t>Td Funzione all'aperto</t>
  </si>
  <si>
    <t>Ts Funzione all'aperto</t>
  </si>
  <si>
    <t>N.B. produrre anche la stampa PDF delle Schede QCC compilate (ed il file excel completo)</t>
  </si>
  <si>
    <t>Cambi d'uso senza opere con aumento CU, verso uso NON residenziale</t>
  </si>
  <si>
    <t xml:space="preserve">Cambi d'uso senza opere con aumento CU, verso uso NON residenziale </t>
  </si>
  <si>
    <t>(Stato legittimato NON residenziale)</t>
  </si>
  <si>
    <t>(Stato legittimato residenziale)</t>
  </si>
  <si>
    <r>
      <t xml:space="preserve">SL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</si>
  <si>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SL</t>
  </si>
  <si>
    <r>
      <t xml:space="preserve">SL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</si>
  <si>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E' dovuto il </t>
    </r>
    <r>
      <rPr>
        <b/>
        <sz val="10"/>
        <color theme="1"/>
        <rFont val="Calibri"/>
        <family val="2"/>
        <scheme val="minor"/>
      </rPr>
      <t>Contributo di Costruzione</t>
    </r>
    <r>
      <rPr>
        <sz val="10"/>
        <color theme="1"/>
        <rFont val="Calibri"/>
        <family val="2"/>
        <scheme val="minor"/>
      </rPr>
      <t xml:space="preserve"> (U1-U2-QCC-D-S ed eventuale CS) </t>
    </r>
    <r>
      <rPr>
        <b/>
        <sz val="10"/>
        <color theme="1"/>
        <rFont val="Calibri"/>
        <family val="2"/>
        <scheme val="minor"/>
      </rPr>
      <t>in misura doppia</t>
    </r>
    <r>
      <rPr>
        <sz val="10"/>
        <color theme="1"/>
        <rFont val="Calibri"/>
        <family val="2"/>
        <scheme val="minor"/>
      </rPr>
      <t xml:space="preserve">, con un </t>
    </r>
    <r>
      <rPr>
        <b/>
        <sz val="10"/>
        <color theme="1"/>
        <rFont val="Calibri"/>
        <family val="2"/>
        <scheme val="minor"/>
      </rPr>
      <t>minimo di € 2.000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</si>
  <si>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1.3.4)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</si>
  <si>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1.3.4)</t>
    </r>
  </si>
  <si>
    <t>Valori OMI reperiti su Geopoi (Agenzia Entrate)</t>
  </si>
  <si>
    <t>STATO CONSERVATIVO (reperito su OMI-Geopoi)</t>
  </si>
  <si>
    <t>STATO DI FATTO (funzione diversa dalla residenza)</t>
  </si>
  <si>
    <t>Laboratori</t>
  </si>
  <si>
    <t>Magazzini</t>
  </si>
  <si>
    <t>STATO DI PROGETTO (funzione residenziale)</t>
  </si>
  <si>
    <t>Uv</t>
  </si>
  <si>
    <t>STATO DI FATTO (funzione residenziale)</t>
  </si>
  <si>
    <t>STATO DI PROGETTO (funzione diversa dalla residenza)</t>
  </si>
  <si>
    <t>Funzione di fatto</t>
  </si>
  <si>
    <t>se dovuto nei casi previsti di cui agli artt. 1.2.9 e 1.2.4 del RUE,</t>
  </si>
  <si>
    <t>devono essere quantificati e relazionati a parte.</t>
  </si>
  <si>
    <r>
      <rPr>
        <b/>
        <sz val="9"/>
        <color rgb="FFFF0000"/>
        <rFont val="Calibri (Corpo)_x0000_"/>
      </rPr>
      <t>(CS)</t>
    </r>
    <r>
      <rPr>
        <b/>
        <sz val="9"/>
        <color theme="1"/>
        <rFont val="Calibri"/>
        <family val="2"/>
        <scheme val="minor"/>
      </rPr>
      <t xml:space="preserve"> CONTRIBUTO</t>
    </r>
  </si>
  <si>
    <r>
      <rPr>
        <b/>
        <sz val="9"/>
        <color rgb="FFFF0000"/>
        <rFont val="Calibri (Corpo)_x0000_"/>
      </rPr>
      <t xml:space="preserve">(CP) </t>
    </r>
    <r>
      <rPr>
        <b/>
        <sz val="9"/>
        <color theme="1"/>
        <rFont val="Calibri"/>
        <family val="2"/>
        <scheme val="minor"/>
      </rPr>
      <t>CONTRIBUTO</t>
    </r>
  </si>
  <si>
    <r>
      <t xml:space="preserve">Il </t>
    </r>
    <r>
      <rPr>
        <b/>
        <sz val="8"/>
        <rFont val="Calibri"/>
        <family val="2"/>
        <scheme val="minor"/>
      </rPr>
      <t>Contributo Straordinario (CS)</t>
    </r>
    <r>
      <rPr>
        <sz val="8"/>
        <rFont val="Calibri"/>
        <family val="2"/>
        <scheme val="minor"/>
      </rPr>
      <t>, se dovuto nei casi previsti di cui</t>
    </r>
  </si>
  <si>
    <r>
      <t xml:space="preserve"> all'art. 4 DAL 186/2018, oppure il </t>
    </r>
    <r>
      <rPr>
        <b/>
        <sz val="8"/>
        <rFont val="Calibri"/>
        <family val="2"/>
        <scheme val="minor"/>
      </rPr>
      <t>Contributo Città Pubblica (CP),</t>
    </r>
  </si>
  <si>
    <r>
      <t>CAMBIO D'USO</t>
    </r>
    <r>
      <rPr>
        <b/>
        <u/>
        <sz val="10"/>
        <rFont val="Calibri"/>
        <family val="2"/>
        <scheme val="minor"/>
      </rPr>
      <t xml:space="preserve"> 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</si>
  <si>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</si>
  <si>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</si>
  <si>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t>RE - CU (Uga Ugb Uge)</t>
  </si>
  <si>
    <t>MONETIZZAZIONE DOTAZIONI TERRITORIALI/STANDARD PUBBLICI (MSP) E PARCHEGGI PRIVATI (MPP)</t>
  </si>
  <si>
    <t>ad esempio in caso di cambio d'uso o ristrutturazione edilizia riconfigurativa</t>
  </si>
  <si>
    <t>PRODURRE VISURA CATASTALE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</si>
  <si>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</si>
  <si>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</si>
  <si>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</si>
  <si>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</si>
  <si>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</si>
  <si>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</si>
  <si>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</si>
  <si>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MVS</t>
  </si>
  <si>
    <t>MONETIZZAZIONE VERDE E ALTRI STANDARD (MVS)</t>
  </si>
  <si>
    <t>MONETIZZAZIONE VERDE E ALTRI STANDARD</t>
  </si>
  <si>
    <t>Pag. 6/9</t>
  </si>
  <si>
    <t>Pag 7/9</t>
  </si>
  <si>
    <t>Pag 8/9</t>
  </si>
  <si>
    <t>Pag. 9/9</t>
  </si>
  <si>
    <t>Vai a pag. 9/9</t>
  </si>
  <si>
    <t>Vai a pag. 8/9</t>
  </si>
  <si>
    <t>Vai a pag. 7/9</t>
  </si>
  <si>
    <t>Pag 1/9</t>
  </si>
  <si>
    <t>Pag 2/9</t>
  </si>
  <si>
    <t>Pag 3/9</t>
  </si>
  <si>
    <t>Pag 4/9</t>
  </si>
  <si>
    <t>Pag 5/9</t>
  </si>
  <si>
    <t>Commerciale e altre (escluso Uga - Uge - Ugb)</t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</si>
  <si>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 </t>
    </r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</si>
  <si>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</t>
    </r>
  </si>
  <si>
    <t>Produrre Allegato 1D e 1E</t>
  </si>
  <si>
    <t>Produrre Allegato 1D e 1E (dimostrazone grafica/analitica superfici)</t>
  </si>
  <si>
    <t>(dimostrazone grafica/analitica superfici SU-SA)</t>
  </si>
  <si>
    <t>Produrre Allegato 1F (dimostrazione grafica superfici)</t>
  </si>
  <si>
    <r>
      <t xml:space="preserve">SC </t>
    </r>
    <r>
      <rPr>
        <sz val="10"/>
        <color rgb="FFFF0000"/>
        <rFont val="Calibri"/>
        <family val="2"/>
      </rPr>
      <t xml:space="preserve">è la superficie complessiva </t>
    </r>
  </si>
  <si>
    <t>* selezionare Ottimo SOLO se</t>
  </si>
  <si>
    <t xml:space="preserve"> disponibile sulla piattaforma GEOPOI</t>
  </si>
  <si>
    <t>la QCC non può mai essere inferiore a quella calcolata senza opere.</t>
  </si>
  <si>
    <r>
      <t xml:space="preserve">Tipologia intervento: </t>
    </r>
    <r>
      <rPr>
        <b/>
        <sz val="11"/>
        <rFont val="Calibri"/>
        <family val="2"/>
        <scheme val="minor"/>
      </rPr>
      <t xml:space="preserve">CAMBIO D'USO </t>
    </r>
    <r>
      <rPr>
        <b/>
        <u/>
        <sz val="11"/>
        <rFont val="Calibri"/>
        <family val="2"/>
        <scheme val="minor"/>
      </rPr>
      <t>SENZA OPERE</t>
    </r>
    <r>
      <rPr>
        <b/>
        <u/>
        <sz val="11"/>
        <color rgb="FFFF0000"/>
        <rFont val="Calibri"/>
        <family val="2"/>
        <scheme val="minor"/>
      </rPr>
      <t xml:space="preserve"> *</t>
    </r>
    <r>
      <rPr>
        <b/>
        <sz val="11"/>
        <rFont val="Calibri"/>
        <family val="2"/>
        <scheme val="minor"/>
      </rPr>
      <t xml:space="preserve"> CON INCREMENTO DI CARICO URBANISTICO</t>
    </r>
  </si>
  <si>
    <t>Standard*</t>
  </si>
  <si>
    <t>*a titolo esemplificativo uso Uf in PCC-PUA</t>
  </si>
  <si>
    <t>Produrre Allegato 1D (dimostrazione grafica/analitica superfici)</t>
  </si>
  <si>
    <t>MONETIZZAZIONE PARCHEGGI PRIVATI (MPP)</t>
  </si>
  <si>
    <t>ATTENZIONE: nella SA occorre considerare anche le superfici accessorie che non rientrano nelle limitazioni da RUE (es: balconi, portici ecc.. Vedasi DTU)</t>
  </si>
  <si>
    <t>TIPOLOGIA EDILIZIA</t>
  </si>
  <si>
    <t>NC progetto - NC esistente</t>
  </si>
  <si>
    <r>
      <t xml:space="preserve">(NC progetto - NC esistente) + REnoCU </t>
    </r>
    <r>
      <rPr>
        <b/>
        <sz val="14"/>
        <color rgb="FFFF0000"/>
        <rFont val="Calibri"/>
        <family val="2"/>
        <scheme val="minor"/>
      </rPr>
      <t>≤ RE+</t>
    </r>
  </si>
  <si>
    <t>A</t>
  </si>
  <si>
    <t xml:space="preserve">(NC x o x Pc x 1000) / SC    = </t>
  </si>
  <si>
    <r>
      <t xml:space="preserve">Questo è il </t>
    </r>
    <r>
      <rPr>
        <b/>
        <i/>
        <sz val="10"/>
        <color rgb="FFFF0000"/>
        <rFont val="Calibri"/>
        <family val="2"/>
        <scheme val="minor"/>
      </rPr>
      <t>valore OMI</t>
    </r>
    <r>
      <rPr>
        <b/>
        <sz val="10"/>
        <color rgb="FFFF0000"/>
        <rFont val="Calibri"/>
        <family val="2"/>
        <scheme val="minor"/>
      </rPr>
      <t xml:space="preserve"> da inserire nella tabella sovrastante, nelle caselle MIN e MAX allo </t>
    </r>
    <r>
      <rPr>
        <b/>
        <i/>
        <sz val="10"/>
        <color rgb="FFFF0000"/>
        <rFont val="Calibri"/>
        <family val="2"/>
        <scheme val="minor"/>
      </rPr>
      <t>stato conservativo</t>
    </r>
    <r>
      <rPr>
        <b/>
        <sz val="10"/>
        <color rgb="FFFF0000"/>
        <rFont val="Calibri"/>
        <family val="2"/>
        <scheme val="minor"/>
      </rPr>
      <t xml:space="preserve"> OTTIMO. La </t>
    </r>
    <r>
      <rPr>
        <b/>
        <i/>
        <sz val="10"/>
        <color rgb="FFFF0000"/>
        <rFont val="Calibri"/>
        <family val="2"/>
        <scheme val="minor"/>
      </rPr>
      <t>funzione (Uso)</t>
    </r>
    <r>
      <rPr>
        <b/>
        <sz val="10"/>
        <color rgb="FFFF0000"/>
        <rFont val="Calibri"/>
        <family val="2"/>
        <scheme val="minor"/>
      </rPr>
      <t xml:space="preserve"> deve essere ripetuta e quindi selezionata uguale sia per la funzione presente che per quella di progetto.</t>
    </r>
  </si>
  <si>
    <t>Numero delle camere della struttura alberghiera</t>
  </si>
  <si>
    <t>o</t>
  </si>
  <si>
    <t>Tasso di occupazione media Comunale fornito dal Servizio di Statistica Regionale *</t>
  </si>
  <si>
    <t>Pc (€)</t>
  </si>
  <si>
    <t>SC (mq)</t>
  </si>
  <si>
    <t>Superficie Complessiva (SC=SU+0,6*SA) della struttura alberghiera (da dimostrare SU e SA con appositi elaborati)</t>
  </si>
  <si>
    <t>Note: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</si>
  <si>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RICOSTRUZIONE, OPERE PERTINENZIALI E PISCINE E PERTINENZIALI (SU=0,  SA=SUP. PISCINA).</t>
    </r>
  </si>
  <si>
    <t>PARAMETRO DI CONVERSIONE TIPOLOGIA EDILIZIA</t>
  </si>
  <si>
    <t>n.d.</t>
  </si>
  <si>
    <t>n.d</t>
  </si>
  <si>
    <t>Tariffa:</t>
  </si>
  <si>
    <t>può essere pari a 0,00 €/mq oppure pari a RE(-)</t>
  </si>
  <si>
    <t>DA CALCOLARE SOLO IN CASI PARTICOLARI *</t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</si>
  <si>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 solo per gli usi </t>
    </r>
    <r>
      <rPr>
        <b/>
        <sz val="10"/>
        <color theme="1"/>
        <rFont val="Calibri"/>
        <family val="2"/>
        <scheme val="minor"/>
      </rPr>
      <t>Uga, Ugb,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Uge</t>
    </r>
  </si>
  <si>
    <r>
      <t xml:space="preserve">Contributi D e S </t>
    </r>
    <r>
      <rPr>
        <sz val="10"/>
        <color theme="1"/>
        <rFont val="Calibri"/>
        <family val="2"/>
        <scheme val="minor"/>
      </rPr>
      <t>(solo per funzione produttiva e rurale svolta da non avente titolo)</t>
    </r>
  </si>
  <si>
    <t>€/mq di SL</t>
  </si>
  <si>
    <t xml:space="preserve">Ts </t>
  </si>
  <si>
    <t>FUNZIONE SVOLTA ALL'APERTO                              (Tab. A)</t>
  </si>
  <si>
    <t>FUNZIONE SVOLTA ALL'APERTO                           (Tab. B)</t>
  </si>
  <si>
    <t>Td (€/mq di SL)</t>
  </si>
  <si>
    <t>Ts (€/mq di SL)</t>
  </si>
  <si>
    <t>MU Con Opere + CU (Uga, Ugb, Uge)</t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</si>
  <si>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sz val="11"/>
        <rFont val="Calibri"/>
        <family val="2"/>
        <scheme val="minor"/>
      </rPr>
      <t>(fare stampa screen se ricorre il caso)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</si>
  <si>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 xml:space="preserve">"A" </t>
    </r>
    <r>
      <rPr>
        <b/>
        <sz val="11"/>
        <rFont val="Calibri"/>
        <family val="2"/>
        <scheme val="minor"/>
      </rPr>
      <t xml:space="preserve">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i/>
        <sz val="11"/>
        <rFont val="Calibri"/>
        <family val="2"/>
        <scheme val="minor"/>
      </rPr>
      <t>(fare stampa screen se ricorre il caso)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</si>
  <si>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U1 (art. 1.3.5 lett. c) - esclusi usi Uga, Ugb, Uge di progetto</t>
    </r>
  </si>
  <si>
    <t>Uga - Ugb - Uge</t>
  </si>
  <si>
    <t>n.d. = non determinato, da calcolare (fz. uso specifico)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</si>
  <si>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</si>
  <si>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Ug, Ue</t>
  </si>
  <si>
    <r>
      <t xml:space="preserve">TABELLA PARAMETRICA ONERI DI URBANIZZAZIONE U1 U2 AGGIORNAMENTO DGR 91/2024 </t>
    </r>
    <r>
      <rPr>
        <b/>
        <sz val="11"/>
        <color rgb="FFFF0000"/>
        <rFont val="Calibri"/>
        <family val="2"/>
        <scheme val="minor"/>
      </rPr>
      <t>(in vigore dal 23/01/2024)</t>
    </r>
  </si>
  <si>
    <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</si>
  <si>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Commerciale al dettaglio, pubblici esercizi, artigianato di servizio</t>
  </si>
  <si>
    <t>% riduzione: scomputo non applicabile ai titoli in sanatoria (vedasi parere Regione ER Prot. 463126 del 24 giugno 2020).</t>
  </si>
  <si>
    <r>
      <t xml:space="preserve">E' dovuto il </t>
    </r>
    <r>
      <rPr>
        <b/>
        <sz val="10"/>
        <color theme="1"/>
        <rFont val="Calibri"/>
        <family val="2"/>
        <scheme val="minor"/>
      </rPr>
      <t>Contributo di Costruzione</t>
    </r>
    <r>
      <rPr>
        <sz val="10"/>
        <color theme="1"/>
        <rFont val="Calibri"/>
        <family val="2"/>
        <scheme val="minor"/>
      </rPr>
      <t xml:space="preserve"> (U1-U2-QCC-D-S ed eventuale CS) con un </t>
    </r>
    <r>
      <rPr>
        <b/>
        <sz val="10"/>
        <color theme="1"/>
        <rFont val="Calibri"/>
        <family val="2"/>
        <scheme val="minor"/>
      </rPr>
      <t>minimo di € 1.032</t>
    </r>
  </si>
  <si>
    <r>
      <t xml:space="preserve">In ogni caso </t>
    </r>
    <r>
      <rPr>
        <b/>
        <sz val="10"/>
        <color theme="1"/>
        <rFont val="Calibri"/>
        <family val="2"/>
        <scheme val="minor"/>
      </rPr>
      <t>deve essere sviluppato il calcolo</t>
    </r>
    <r>
      <rPr>
        <sz val="10"/>
        <color theme="1"/>
        <rFont val="Calibri"/>
        <family val="2"/>
        <scheme val="minor"/>
      </rPr>
      <t xml:space="preserve"> al fine di dimostrare, eventualmente, che l'importo risulti inferiore a € 1.032</t>
    </r>
  </si>
  <si>
    <r>
      <t xml:space="preserve">Il Contributo è dovuto </t>
    </r>
    <r>
      <rPr>
        <b/>
        <sz val="10"/>
        <color theme="1"/>
        <rFont val="Calibri"/>
        <family val="2"/>
        <scheme val="minor"/>
      </rPr>
      <t>anche nei casi di esonero</t>
    </r>
    <r>
      <rPr>
        <sz val="10"/>
        <color theme="1"/>
        <rFont val="Calibri"/>
        <family val="2"/>
        <scheme val="minor"/>
      </rPr>
      <t xml:space="preserve">, sempre con un </t>
    </r>
    <r>
      <rPr>
        <b/>
        <sz val="10"/>
        <color theme="1"/>
        <rFont val="Calibri"/>
        <family val="2"/>
        <scheme val="minor"/>
      </rPr>
      <t>minimo di € 1.032</t>
    </r>
  </si>
  <si>
    <t>nuovo art. 17 comma 3 L.R. n. 23/2004</t>
  </si>
  <si>
    <t>nuovo art. 17 comma 3 LR. 23/2004</t>
  </si>
  <si>
    <t>CdC</t>
  </si>
  <si>
    <t>Lett. a) GIURISPRUDENZIALE</t>
  </si>
  <si>
    <t>lett. a)</t>
  </si>
  <si>
    <t>lett. b)</t>
  </si>
  <si>
    <t>Lett. b) GIURISPRUDENZIALE</t>
  </si>
  <si>
    <t>Lett. c) GIURISPRUDENZIALE</t>
  </si>
  <si>
    <t>Doppia Conformità</t>
  </si>
  <si>
    <t>Giurisprudenziale</t>
  </si>
  <si>
    <t>TOTALE DA PAGARE (oblazione + monetizzazione + CS/CP)</t>
  </si>
  <si>
    <r>
      <t xml:space="preserve">IMPORTO FORFETTARIO </t>
    </r>
    <r>
      <rPr>
        <b/>
        <sz val="10"/>
        <color theme="1"/>
        <rFont val="Calibri"/>
        <family val="2"/>
        <scheme val="minor"/>
      </rPr>
      <t>da € 516 a € 5.164 oppure € 1.032 a € 10.320</t>
    </r>
  </si>
  <si>
    <t>a seconda che la sanatoria abbia la doppia conformità o meno</t>
  </si>
  <si>
    <t>Oblazione</t>
  </si>
  <si>
    <t>oppure secondo le regole della rateizzazione</t>
  </si>
  <si>
    <t>ante e post intervento redatta con valori OMI</t>
  </si>
  <si>
    <r>
      <t>L'</t>
    </r>
    <r>
      <rPr>
        <b/>
        <sz val="10"/>
        <color theme="1"/>
        <rFont val="Calibri"/>
        <family val="2"/>
        <scheme val="minor"/>
      </rPr>
      <t>aumento di valore</t>
    </r>
    <r>
      <rPr>
        <sz val="10"/>
        <color theme="1"/>
        <rFont val="Calibri"/>
        <family val="2"/>
        <scheme val="minor"/>
      </rPr>
      <t xml:space="preserve"> dell'immobile è calcolato con </t>
    </r>
    <r>
      <rPr>
        <b/>
        <sz val="10"/>
        <color theme="1"/>
        <rFont val="Calibri"/>
        <family val="2"/>
        <scheme val="minor"/>
      </rPr>
      <t>perizia estimativa</t>
    </r>
  </si>
  <si>
    <t>Occorre pertanto produrre perizia asseverata dal tecnico</t>
  </si>
  <si>
    <t>Posti auto coperti</t>
  </si>
  <si>
    <t>Posti auto scoperti</t>
  </si>
  <si>
    <t>Box*</t>
  </si>
  <si>
    <t>Autorimesse*</t>
  </si>
  <si>
    <t>ED ESTRATTI VALORI OMI</t>
  </si>
  <si>
    <t>Capannoni tipici*</t>
  </si>
  <si>
    <t>Capannoni industriali*</t>
  </si>
  <si>
    <t>MSP1</t>
  </si>
  <si>
    <t>MSP2</t>
  </si>
  <si>
    <t>OBLAZIONE Lett. c)</t>
  </si>
  <si>
    <t>OBLAZIONE Lett. b)</t>
  </si>
  <si>
    <t>OBLAZIONE Lett. a)</t>
  </si>
  <si>
    <t>escluso interventi soggetti a CILA tardiva (altre casistiche)</t>
  </si>
  <si>
    <r>
      <t>L'</t>
    </r>
    <r>
      <rPr>
        <b/>
        <sz val="10"/>
        <color theme="1"/>
        <rFont val="Calibri"/>
        <family val="2"/>
        <scheme val="minor"/>
      </rPr>
      <t>aumento di valore dell'immobile</t>
    </r>
    <r>
      <rPr>
        <sz val="10"/>
        <color theme="1"/>
        <rFont val="Calibri"/>
        <family val="2"/>
        <scheme val="minor"/>
      </rPr>
      <t xml:space="preserve"> è calcolato con  </t>
    </r>
    <r>
      <rPr>
        <b/>
        <sz val="10"/>
        <color rgb="FFFF0000"/>
        <rFont val="Calibri"/>
        <family val="2"/>
        <scheme val="minor"/>
      </rPr>
      <t>perizia estimativa</t>
    </r>
    <r>
      <rPr>
        <b/>
        <sz val="10"/>
        <color theme="1"/>
        <rFont val="Calibri"/>
        <family val="2"/>
        <scheme val="minor"/>
      </rPr>
      <t xml:space="preserve"> ante e post intervento,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redatta con Valori OMI</t>
    </r>
  </si>
  <si>
    <r>
      <t xml:space="preserve">Occorrre produrre </t>
    </r>
    <r>
      <rPr>
        <b/>
        <sz val="10"/>
        <color theme="1"/>
        <rFont val="Calibri"/>
        <family val="2"/>
        <scheme val="minor"/>
      </rPr>
      <t>perizia estimativa ante e post intervento asseverata</t>
    </r>
    <r>
      <rPr>
        <sz val="10"/>
        <color theme="1"/>
        <rFont val="Calibri"/>
        <family val="2"/>
        <scheme val="minor"/>
      </rPr>
      <t xml:space="preserve"> e </t>
    </r>
    <r>
      <rPr>
        <b/>
        <sz val="10"/>
        <color theme="1"/>
        <rFont val="Calibri"/>
        <family val="2"/>
        <scheme val="minor"/>
      </rPr>
      <t>redatta con l'ausilio dei Valori OMI</t>
    </r>
  </si>
  <si>
    <t>NOVITA': In caso di doppia conformità, l'oblazione determinata in funzione dell'aumento di valore è dimezzata (min. € 516 max. € 5.164)</t>
  </si>
  <si>
    <t>Uffici strutturati*</t>
  </si>
  <si>
    <r>
      <t xml:space="preserve">* Un </t>
    </r>
    <r>
      <rPr>
        <b/>
        <sz val="9"/>
        <color rgb="FF001D35"/>
        <rFont val="Arial"/>
        <family val="2"/>
      </rPr>
      <t>ufficio strutturato</t>
    </r>
    <r>
      <rPr>
        <sz val="9"/>
        <color rgb="FF001D35"/>
        <rFont val="Arial"/>
        <family val="2"/>
      </rPr>
      <t xml:space="preserve"> è un ambiente di lavoro progettato per ottimizzare </t>
    </r>
  </si>
  <si>
    <t xml:space="preserve">le prestazioni, il comfort e la funzionalità, offrendo un'esperienza lavorativa </t>
  </si>
  <si>
    <t>superiore rispetto agli uffici tradizionali.</t>
  </si>
  <si>
    <t>Tipologia edilizia di fatto</t>
  </si>
  <si>
    <t>Lett. a) DOPPIA CONFORMITA' (-20%)</t>
  </si>
  <si>
    <t>Lett. b) DOPPIA CONFORMITA' (-20%)</t>
  </si>
  <si>
    <t>Doppia Conformità "SI" (-20% lett. A e B, -50% lett. C)</t>
  </si>
  <si>
    <t>Nuovo art. 17 comma 3 LR. 23/2004 (Salva Casa)</t>
  </si>
  <si>
    <t>QCC (C)</t>
  </si>
  <si>
    <t>Solo per l'oblazione lett. c) occorre produrre perizia asseverata, con il calcolo del valore venale ante e post intervento,</t>
  </si>
  <si>
    <t>IMPORTANTE</t>
  </si>
  <si>
    <t>Si richiede la rateizzazione?</t>
  </si>
  <si>
    <t>Piano di rateizzazione (ammessa solo per importi &gt; 5.000 €)</t>
  </si>
  <si>
    <r>
      <t xml:space="preserve">Tra tutti gli allegati obbligatori, il </t>
    </r>
    <r>
      <rPr>
        <b/>
        <sz val="16"/>
        <color theme="1"/>
        <rFont val="Calibri"/>
        <family val="2"/>
        <scheme val="minor"/>
      </rPr>
      <t>prospetto di calcolo in excel</t>
    </r>
    <r>
      <rPr>
        <sz val="16"/>
        <color theme="1"/>
        <rFont val="Calibri"/>
        <family val="2"/>
        <scheme val="minor"/>
      </rPr>
      <t xml:space="preserve">, il </t>
    </r>
    <r>
      <rPr>
        <b/>
        <sz val="16"/>
        <color theme="1"/>
        <rFont val="Calibri"/>
        <family val="2"/>
        <scheme val="minor"/>
      </rPr>
      <t>Modulo CdC</t>
    </r>
    <r>
      <rPr>
        <sz val="16"/>
        <color theme="1"/>
        <rFont val="Calibri"/>
        <family val="2"/>
        <scheme val="minor"/>
      </rPr>
      <t xml:space="preserve"> e le </t>
    </r>
    <r>
      <rPr>
        <b/>
        <sz val="16"/>
        <color theme="1"/>
        <rFont val="Calibri"/>
        <family val="2"/>
        <scheme val="minor"/>
      </rPr>
      <t>tavole dimostrative delle superfici (SU-SA-SL)</t>
    </r>
    <r>
      <rPr>
        <sz val="16"/>
        <color theme="1"/>
        <rFont val="Calibri"/>
        <family val="2"/>
        <scheme val="minor"/>
      </rPr>
      <t xml:space="preserve"> utilizzate per il calcolo, sono gli </t>
    </r>
    <r>
      <rPr>
        <b/>
        <sz val="16"/>
        <color theme="1"/>
        <rFont val="Calibri"/>
        <family val="2"/>
        <scheme val="minor"/>
      </rPr>
      <t>elementi essenziali</t>
    </r>
  </si>
  <si>
    <r>
      <t xml:space="preserve">Le </t>
    </r>
    <r>
      <rPr>
        <b/>
        <sz val="16"/>
        <color theme="1"/>
        <rFont val="Calibri"/>
        <family val="2"/>
        <scheme val="minor"/>
      </rPr>
      <t>tavole dimostrative delle superfici (All. 1D - 1E - 1F)</t>
    </r>
    <r>
      <rPr>
        <sz val="16"/>
        <color theme="1"/>
        <rFont val="Calibri"/>
        <family val="2"/>
        <scheme val="minor"/>
      </rPr>
      <t xml:space="preserve">, che possono essere redatte anche in un unico elaborato, </t>
    </r>
    <r>
      <rPr>
        <b/>
        <sz val="16"/>
        <color theme="1"/>
        <rFont val="Calibri"/>
        <family val="2"/>
        <scheme val="minor"/>
      </rPr>
      <t>devono essere molto chiare ed esaustive</t>
    </r>
    <r>
      <rPr>
        <sz val="16"/>
        <color theme="1"/>
        <rFont val="Calibri"/>
        <family val="2"/>
        <scheme val="minor"/>
      </rPr>
      <t>,</t>
    </r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</si>
  <si>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</si>
  <si>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</si>
  <si>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r>
      <rPr>
        <b/>
        <sz val="16"/>
        <color theme="1"/>
        <rFont val="Calibri"/>
        <family val="2"/>
        <scheme val="minor"/>
      </rPr>
      <t>Campiture differenziate</t>
    </r>
    <r>
      <rPr>
        <sz val="16"/>
        <color theme="1"/>
        <rFont val="Calibri"/>
        <family val="2"/>
        <scheme val="minor"/>
      </rPr>
      <t xml:space="preserve"> dovranno essere utilizzate per la </t>
    </r>
    <r>
      <rPr>
        <b/>
        <sz val="16"/>
        <color theme="1"/>
        <rFont val="Calibri"/>
        <family val="2"/>
        <scheme val="minor"/>
      </rPr>
      <t>SU, SA e SL</t>
    </r>
    <r>
      <rPr>
        <sz val="16"/>
        <color theme="1"/>
        <rFont val="Calibri"/>
        <family val="2"/>
        <scheme val="minor"/>
      </rPr>
      <t>, in ogni locale dovrà essere riportata la superficie, l'uso e la relativa colorazione con opportuna legenda.</t>
    </r>
  </si>
  <si>
    <t>Attenzione: nella SA occorre considerare anche le superfici che non rientrano nelle limitazioni da RUE, quali ad esempio: logge, balconi, corridoi accessori, portici, autorimesse, piscine ecc..</t>
  </si>
  <si>
    <r>
      <rPr>
        <b/>
        <sz val="16"/>
        <color theme="1"/>
        <rFont val="Calibri"/>
        <family val="2"/>
        <scheme val="minor"/>
      </rPr>
      <t>ad ogni modifica progettuale o integrazione, anche se richiesta da altri servizi/uffici, che comportino una modifica dei parametri di calcolo</t>
    </r>
    <r>
      <rPr>
        <sz val="16"/>
        <color theme="1"/>
        <rFont val="Calibri"/>
        <family val="2"/>
        <scheme val="minor"/>
      </rPr>
      <t xml:space="preserve"> quali ad esempio: </t>
    </r>
  </si>
  <si>
    <t xml:space="preserve">SLU, SL, SU, SA o SNR, numero e consistenza delle unità immobiliari, computo metrico o QTE, destinazione d’uso, localizzazione ecc.. </t>
  </si>
  <si>
    <r>
      <t xml:space="preserve">Qualora le modifiche progettuali o integrazioni richieste da altri servizi/uffici </t>
    </r>
    <r>
      <rPr>
        <b/>
        <sz val="16"/>
        <color theme="1"/>
        <rFont val="Calibri"/>
        <family val="2"/>
        <scheme val="minor"/>
      </rPr>
      <t>non comportino alcuna modifica ai parametri di calcolo</t>
    </r>
    <r>
      <rPr>
        <sz val="16"/>
        <color theme="1"/>
        <rFont val="Calibri"/>
        <family val="2"/>
        <scheme val="minor"/>
      </rPr>
      <t xml:space="preserve"> dei contributi, </t>
    </r>
  </si>
  <si>
    <r>
      <t xml:space="preserve">sarà comunque necessario produrre una </t>
    </r>
    <r>
      <rPr>
        <b/>
        <sz val="16"/>
        <color theme="1"/>
        <rFont val="Calibri"/>
        <family val="2"/>
        <scheme val="minor"/>
      </rPr>
      <t>dichiarazione in merito, nella quale specificare l’autocalcolo da tenere in considerazione.</t>
    </r>
  </si>
  <si>
    <t>L'autocalcolo dei contributi, gli allegati obbligatori e gli eventuali versamenti a conguaglio dovranno sempre risultare conformi all'ultima versione progettuale.</t>
  </si>
  <si>
    <t>https://www1.agenziaentrate.gov.it/servizi/Consultazione/ricerca.htm?level=0</t>
  </si>
  <si>
    <t>Ricerca temporale OMI</t>
  </si>
  <si>
    <t>Valori OMI attuali</t>
  </si>
  <si>
    <r>
      <t xml:space="preserve">* In caso di </t>
    </r>
    <r>
      <rPr>
        <b/>
        <u/>
        <sz val="10"/>
        <color rgb="FFFF0000"/>
        <rFont val="Calibri"/>
        <family val="2"/>
        <scheme val="minor"/>
      </rPr>
      <t>cambio d'uso con opere in aumento di carico urbanistico, la QCC non può mai essere inferiore a quella calcolata senza opere.</t>
    </r>
  </si>
  <si>
    <t>Quindi, in caso di cambio d'uso, occorre assumere la maggiore</t>
  </si>
  <si>
    <t>Quindi, in caso di cambio d'uso, occorre assumere la maggiore di quella calcolata CON e SENZA opere.</t>
  </si>
  <si>
    <t>NOTA BENE</t>
  </si>
  <si>
    <r>
      <t xml:space="preserve">* In caso di </t>
    </r>
    <r>
      <rPr>
        <b/>
        <u/>
        <sz val="11"/>
        <color rgb="FFFF0000"/>
        <rFont val="Calibri"/>
        <family val="2"/>
        <scheme val="minor"/>
      </rPr>
      <t>cambio d'uso con opere in aumento di carico urbanistico</t>
    </r>
  </si>
  <si>
    <t>di quella calcolata CON e SENZA opere.</t>
  </si>
  <si>
    <r>
      <t xml:space="preserve">* Un </t>
    </r>
    <r>
      <rPr>
        <b/>
        <sz val="10"/>
        <color rgb="FF001D35"/>
        <rFont val="Calibri"/>
        <family val="2"/>
        <scheme val="minor"/>
      </rPr>
      <t>ufficio strutturato</t>
    </r>
    <r>
      <rPr>
        <sz val="10"/>
        <color rgb="FF001D35"/>
        <rFont val="Calibri"/>
        <family val="2"/>
        <scheme val="minor"/>
      </rPr>
      <t xml:space="preserve"> è un ambiente di lavoro progettato per ottimizzare </t>
    </r>
  </si>
  <si>
    <t>Il prospetto di calcolo deve essere allegato al titolo edilizio in formato excel (.XLSX) nell'ultima versione C-Portal disponibile sul sito del Comune di Parma,</t>
  </si>
  <si>
    <t>Pertanto non occorre produrre stampa pdf.</t>
  </si>
  <si>
    <r>
      <t xml:space="preserve">e devono essere redatte e </t>
    </r>
    <r>
      <rPr>
        <b/>
        <sz val="16"/>
        <color theme="1"/>
        <rFont val="Calibri"/>
        <family val="2"/>
        <scheme val="minor"/>
      </rPr>
      <t>aggiornate ad ogni variazione di superfici/parametri con integrazione volontaria</t>
    </r>
    <r>
      <rPr>
        <sz val="16"/>
        <color theme="1"/>
        <rFont val="Calibri"/>
        <family val="2"/>
        <scheme val="minor"/>
      </rPr>
      <t>, poiché il calcolo oneri dipende dal progetto defintivo e conforme.</t>
    </r>
  </si>
  <si>
    <t>L’autocalcolo dei contributi, corredato dei relativi allegati obbligatori a supporto e degli eventuali versamenti a conguaglio, dovrà essere aggiornato tramite integrazione volontaria.</t>
  </si>
  <si>
    <t>C-PORTAL</t>
  </si>
  <si>
    <t>Codice catastale</t>
  </si>
  <si>
    <t>Onere</t>
  </si>
  <si>
    <t>Importo</t>
  </si>
  <si>
    <t>Formula</t>
  </si>
  <si>
    <t>G337</t>
  </si>
  <si>
    <t>Urbanizzazione Primaria</t>
  </si>
  <si>
    <t>Urbanizzazione Secondaria</t>
  </si>
  <si>
    <t>Costo di Costruzione o QCC</t>
  </si>
  <si>
    <t>Monetizzazione</t>
  </si>
  <si>
    <t>Contributo Città Pubblica</t>
  </si>
  <si>
    <t>Situazione iniziale</t>
  </si>
  <si>
    <t>Situazione attuale</t>
  </si>
  <si>
    <t>Variante</t>
  </si>
  <si>
    <t>Formule</t>
  </si>
  <si>
    <t>Sanzioni amministrative</t>
  </si>
  <si>
    <t>Copiare in questa colonna la colonna situazione attuale della pratica "padre"</t>
  </si>
  <si>
    <r>
      <t xml:space="preserve">Il </t>
    </r>
    <r>
      <rPr>
        <b/>
        <u/>
        <sz val="16"/>
        <color theme="1"/>
        <rFont val="Calibri"/>
        <family val="2"/>
        <scheme val="minor"/>
      </rPr>
      <t>Contributo di Costruzione NON è il Costo di Costruzione</t>
    </r>
    <r>
      <rPr>
        <u/>
        <sz val="16"/>
        <color theme="1"/>
        <rFont val="Calibri"/>
        <family val="2"/>
        <scheme val="minor"/>
      </rPr>
      <t xml:space="preserve">; il </t>
    </r>
    <r>
      <rPr>
        <b/>
        <u/>
        <sz val="16"/>
        <color theme="1"/>
        <rFont val="Calibri"/>
        <family val="2"/>
        <scheme val="minor"/>
      </rPr>
      <t>Contributo di Costruzione</t>
    </r>
    <r>
      <rPr>
        <u/>
        <sz val="16"/>
        <color theme="1"/>
        <rFont val="Calibri"/>
        <family val="2"/>
        <scheme val="minor"/>
      </rPr>
      <t xml:space="preserve"> è dato dalla </t>
    </r>
    <r>
      <rPr>
        <b/>
        <u/>
        <sz val="16"/>
        <color theme="1"/>
        <rFont val="Calibri"/>
        <family val="2"/>
        <scheme val="minor"/>
      </rPr>
      <t>somma di U1 - U2 - QCC - D - S - CS</t>
    </r>
  </si>
  <si>
    <r>
      <t xml:space="preserve">Quindi </t>
    </r>
    <r>
      <rPr>
        <b/>
        <u/>
        <sz val="16"/>
        <color theme="1"/>
        <rFont val="Calibri"/>
        <family val="2"/>
        <scheme val="minor"/>
      </rPr>
      <t>il Costo di Costruzione (o QCC) è una parte del Contributo di Costruzione.</t>
    </r>
  </si>
  <si>
    <t>* Indicano quando utilizzare le tipolgie "autorimessa e "box":</t>
  </si>
  <si>
    <r>
      <rPr>
        <b/>
        <sz val="10"/>
        <rFont val="Calibri"/>
        <family val="2"/>
        <scheme val="minor"/>
      </rPr>
      <t>Autorimessa:</t>
    </r>
    <r>
      <rPr>
        <sz val="10"/>
        <rFont val="Calibri"/>
        <family val="2"/>
        <scheme val="minor"/>
      </rPr>
      <t xml:space="preserve"> tipoliga da utilizzarsi in caso di nuova costruzione di autorimessa multipla.</t>
    </r>
  </si>
  <si>
    <r>
      <rPr>
        <b/>
        <sz val="10"/>
        <rFont val="Calibri"/>
        <family val="2"/>
        <scheme val="minor"/>
      </rPr>
      <t>Box:</t>
    </r>
    <r>
      <rPr>
        <sz val="10"/>
        <rFont val="Calibri"/>
        <family val="2"/>
        <scheme val="minor"/>
      </rPr>
      <t xml:space="preserve"> tipoliga da utilizzarsi solo in caso di nuova costruzione di un singolo box.</t>
    </r>
  </si>
  <si>
    <t>In assenza della tipologia dei valori OMI per la tipologia interessata,</t>
  </si>
  <si>
    <t>partire dalle abilatiioni civili per convertire con i relativi coefficienti</t>
  </si>
  <si>
    <r>
      <rPr>
        <b/>
        <sz val="9"/>
        <color rgb="FFFF0000"/>
        <rFont val="Calibri"/>
        <family val="2"/>
        <scheme val="minor"/>
      </rPr>
      <t>*Attenzione:</t>
    </r>
    <r>
      <rPr>
        <sz val="9"/>
        <color rgb="FFFF0000"/>
        <rFont val="Calibri"/>
        <family val="2"/>
        <scheme val="minor"/>
      </rPr>
      <t xml:space="preserve"> nel caso la zona OMI luogo dell'intervento non contempli la funzione NON residenziale, partire dai valori corrispondenti alla </t>
    </r>
    <r>
      <rPr>
        <b/>
        <sz val="9"/>
        <color rgb="FFFF0000"/>
        <rFont val="Calibri"/>
        <family val="2"/>
        <scheme val="minor"/>
      </rPr>
      <t>"Funzione residenziale - Abitazioni civili"</t>
    </r>
  </si>
  <si>
    <r>
      <t xml:space="preserve">NOTA: per </t>
    </r>
    <r>
      <rPr>
        <b/>
        <u/>
        <sz val="10"/>
        <color rgb="FFFF0000"/>
        <rFont val="Calibri"/>
        <family val="2"/>
        <scheme val="minor"/>
      </rPr>
      <t>recupero edifici rustici</t>
    </r>
    <r>
      <rPr>
        <b/>
        <sz val="10"/>
        <color rgb="FFFF0000"/>
        <rFont val="Calibri"/>
        <family val="2"/>
        <scheme val="minor"/>
      </rPr>
      <t xml:space="preserve"> (ex depositi agricoli, fienili, stalle, barchesse ecc…) </t>
    </r>
    <r>
      <rPr>
        <b/>
        <u/>
        <sz val="10"/>
        <color rgb="FFFF0000"/>
        <rFont val="Calibri"/>
        <family val="2"/>
        <scheme val="minor"/>
      </rPr>
      <t xml:space="preserve">di valore architettonico ambientale </t>
    </r>
  </si>
  <si>
    <t>e storico testimoniale (c.d. "rossi"): allo stato di fatto occorre utilizzare i Valori OMI più affini, cioè quelli della funzione produttiva</t>
  </si>
  <si>
    <t>TOTALE tranne Mtot</t>
  </si>
  <si>
    <r>
      <t xml:space="preserve">Da allegare al titolo edilizio in questo formato (.XLSX), </t>
    </r>
    <r>
      <rPr>
        <b/>
        <i/>
        <sz val="8"/>
        <color rgb="FFFF0000"/>
        <rFont val="Calibri"/>
        <family val="2"/>
        <scheme val="minor"/>
      </rPr>
      <t>non occorre stampa pdf</t>
    </r>
  </si>
  <si>
    <t xml:space="preserve">Con le disposizioni regionali in recepimento del Decreto Salca Casa viene stabilito che, il calcolo dell’oblazione, per entrambi i titoli edilizi (SCIA e PdC), </t>
  </si>
  <si>
    <t>deve essere svolto ai sensi dell’art. 17 comma 3 della L.R. 23/2004. L’oblazione determinata in funzione dell’aumento del valore venale dell’immobile</t>
  </si>
  <si>
    <t>In caso di “doppia conformità”, l’oblazione di cui alle lett. a) e lett. b) è ridotta del 20%, mentre per la lett.c) è dimezzata (in automatico dal prospetto di calcolo excel).</t>
  </si>
  <si>
    <t xml:space="preserve"> rientra esclusivamente nella casistica di cui alla lett. c), cioè nelle casistiche non riconducibili a lett. a) e lett. b).</t>
  </si>
  <si>
    <t>utilizzando i valori OMI attualizzati alla data di presentazione del titolo edilizio in sanatoria,</t>
  </si>
  <si>
    <r>
      <t>E' dovuta una somma variabile</t>
    </r>
    <r>
      <rPr>
        <b/>
        <sz val="10"/>
        <color theme="1"/>
        <rFont val="Calibri"/>
        <family val="2"/>
        <scheme val="minor"/>
      </rPr>
      <t xml:space="preserve"> da € 1.032 a 10.328</t>
    </r>
    <r>
      <rPr>
        <sz val="10"/>
        <color theme="1"/>
        <rFont val="Calibri"/>
        <family val="2"/>
        <scheme val="minor"/>
      </rPr>
      <t xml:space="preserve"> calcolata </t>
    </r>
    <r>
      <rPr>
        <b/>
        <sz val="10"/>
        <color rgb="FFFF0000"/>
        <rFont val="Calibri"/>
        <family val="2"/>
        <scheme val="minor"/>
      </rPr>
      <t xml:space="preserve">in relazione </t>
    </r>
    <r>
      <rPr>
        <b/>
        <u/>
        <sz val="10"/>
        <color rgb="FFFF0000"/>
        <rFont val="Calibri"/>
        <family val="2"/>
        <scheme val="minor"/>
      </rPr>
      <t>al doppio</t>
    </r>
    <r>
      <rPr>
        <b/>
        <sz val="10"/>
        <color rgb="FFFF0000"/>
        <rFont val="Calibri"/>
        <family val="2"/>
        <scheme val="minor"/>
      </rPr>
      <t xml:space="preserve"> dell'aumento di valore dell'immobile</t>
    </r>
  </si>
  <si>
    <r>
      <t xml:space="preserve">evidenziando </t>
    </r>
    <r>
      <rPr>
        <b/>
        <u/>
        <sz val="12"/>
        <color rgb="FFFF0000"/>
        <rFont val="Calibri"/>
        <family val="2"/>
        <scheme val="minor"/>
      </rPr>
      <t>il DOPPIO</t>
    </r>
    <r>
      <rPr>
        <b/>
        <sz val="12"/>
        <color rgb="FFFF0000"/>
        <rFont val="Calibri"/>
        <family val="2"/>
        <scheme val="minor"/>
      </rPr>
      <t xml:space="preserve"> dell'aumento di valore venale dell'immobile.</t>
    </r>
  </si>
  <si>
    <t>NOVITA': In caso di doppia conformità, l'oblazione calcolate è ridotta del 20%</t>
  </si>
  <si>
    <t>Lett. c) DOPPIA CONFORMITA' (-50%)</t>
  </si>
  <si>
    <t>Allegato 1Cs Salva Casa - VERSIONE 4.2 - aggiornamento 01/03/2026</t>
  </si>
  <si>
    <r>
      <t xml:space="preserve">File aggiornato al 01/03/2026 C-Portal - </t>
    </r>
    <r>
      <rPr>
        <b/>
        <u/>
        <sz val="16"/>
        <color rgb="FF0000FF"/>
        <rFont val="Calibri"/>
        <family val="2"/>
        <scheme val="minor"/>
      </rPr>
      <t>Calcolo Oblazione SANATORIE con metodo VIGENTE (DAL 186/2018 smi)</t>
    </r>
  </si>
  <si>
    <t>NOTE IMPORTANTI PER IL CALCOLO DELL'OBLAZIONE - da leggere attentamente prima di procedere</t>
  </si>
  <si>
    <t>Prezzo medio di una camera nel bacino di utenza analizzato **</t>
  </si>
  <si>
    <t>* Tasso di Occupazione media Comunale (ultimo dato disponibile 41,17% consuntivo 2024)</t>
  </si>
  <si>
    <t>** Prezzo medio di una camera 4 stelle dedotto da Italia Hotel Monitor (ultimo dato disponibile € 117,15 dicembre 2025)</t>
  </si>
  <si>
    <r>
      <t xml:space="preserve">PROSPETTO DI CALCOLO OBLAZIONE </t>
    </r>
    <r>
      <rPr>
        <b/>
        <sz val="10"/>
        <color rgb="FFFF0000"/>
        <rFont val="Calibri"/>
        <family val="2"/>
        <scheme val="minor"/>
      </rPr>
      <t>DECRETO SALVA CASA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VERSIONE 4.2 (agg. 01/03/2026)</t>
    </r>
    <r>
      <rPr>
        <b/>
        <sz val="10"/>
        <rFont val="Calibri"/>
        <family val="2"/>
        <scheme val="minor"/>
      </rPr>
      <t xml:space="preserve"> in vigore dal 30/12/2025</t>
    </r>
  </si>
  <si>
    <r>
      <rPr>
        <b/>
        <sz val="10"/>
        <color rgb="FFFF0000"/>
        <rFont val="Calibri"/>
        <family val="2"/>
        <scheme val="minor"/>
      </rPr>
      <t>ALLEGATO 1Cs</t>
    </r>
    <r>
      <rPr>
        <b/>
        <sz val="10"/>
        <color theme="1"/>
        <rFont val="Calibri"/>
        <family val="2"/>
        <scheme val="minor"/>
      </rPr>
      <t xml:space="preserve"> PROSPETTO DI CALCOLO OBLAZIONE </t>
    </r>
    <r>
      <rPr>
        <b/>
        <sz val="10"/>
        <color rgb="FFFF0000"/>
        <rFont val="Calibri"/>
        <family val="2"/>
        <scheme val="minor"/>
      </rPr>
      <t xml:space="preserve">DECRETO SALVA CASA - VERSIONE 4.2 (agg. 01/03/2026) </t>
    </r>
    <r>
      <rPr>
        <b/>
        <sz val="10"/>
        <rFont val="Calibri"/>
        <family val="2"/>
        <scheme val="minor"/>
      </rPr>
      <t>in vigore dal 30/12/2025</t>
    </r>
  </si>
  <si>
    <t>PROSPETTO DI CALCOLO OBLAZIONE DECRETO SALVA CASA - VERSIONE 4.2</t>
  </si>
  <si>
    <t>APPLICAZIONE A PARTIRE DAL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</si>
</sst>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[$€-2]\ #,##0;[Red]\-[$€-2]\ #,##0"/>
    <numFmt numFmtId="168" formatCode="#,##0_ ;\-#,##0\ "/>
    <numFmt numFmtId="169" formatCode="&quot;€&quot;\ #,##0.00"/>
    <numFmt numFmtId="170" formatCode="_-[$€-410]\ * #,##0.00_-;\-[$€-410]\ * #,##0.00_-;_-[$€-410]\ * &quot;-&quot;??_-;_-@_-"/>
    <numFmt numFmtId="171" formatCode="0.0000"/>
    <numFmt numFmtId="172" formatCode="#,##0.00\ &quot;€&quot;"/>
    <numFmt numFmtId="173" formatCode="#,##0.0000_ ;\-#,##0.0000\ "/>
    <numFmt numFmtId="174" formatCode="_-* #,##0.00\ [$€-410]_-;\-* #,##0.00\ [$€-410]_-;_-* &quot;-&quot;??\ [$€-410]_-;_-@_-"/>
    <numFmt numFmtId="175" formatCode="0.0"/>
  </numFmts>
  <fonts count="1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9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  <scheme val="minor"/>
    </font>
    <font>
      <u/>
      <sz val="10"/>
      <name val="Calibri"/>
      <family val="2"/>
    </font>
    <font>
      <i/>
      <sz val="9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</font>
    <font>
      <b/>
      <i/>
      <sz val="9"/>
      <color theme="0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3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b/>
      <i/>
      <sz val="9"/>
      <color theme="0" tint="-0.14999847407452621"/>
      <name val="Calibri"/>
      <family val="2"/>
      <scheme val="minor"/>
    </font>
    <font>
      <b/>
      <i/>
      <sz val="9"/>
      <color theme="0" tint="-0.14999847407452621"/>
      <name val="Calibri"/>
      <family val="2"/>
    </font>
    <font>
      <i/>
      <sz val="9"/>
      <name val="Calibri"/>
      <family val="2"/>
      <scheme val="minor"/>
    </font>
    <font>
      <b/>
      <sz val="26"/>
      <color rgb="FFFF0000"/>
      <name val="Calibri"/>
      <family val="2"/>
      <scheme val="minor"/>
    </font>
    <font>
      <i/>
      <sz val="9"/>
      <color theme="0" tint="-0.14999847407452621"/>
      <name val="Calibri"/>
      <family val="2"/>
      <scheme val="minor"/>
    </font>
    <font>
      <sz val="9"/>
      <color theme="0" tint="-0.249977111117893"/>
      <name val="Arial"/>
      <family val="2"/>
    </font>
    <font>
      <sz val="8"/>
      <color theme="0" tint="-0.1499984740745262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 (Corpo)_x0000_"/>
    </font>
    <font>
      <b/>
      <i/>
      <u/>
      <sz val="11"/>
      <name val="Calibri (Corpo)_x0000_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Wingdings"/>
      <charset val="2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0000"/>
      <name val="Calibri (Corpo)_x0000_"/>
    </font>
    <font>
      <b/>
      <sz val="9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Wingdings"/>
      <charset val="2"/>
    </font>
    <font>
      <sz val="9"/>
      <color rgb="FF001D35"/>
      <name val="Arial"/>
      <family val="2"/>
    </font>
    <font>
      <b/>
      <sz val="9"/>
      <color rgb="FF001D35"/>
      <name val="Arial"/>
      <family val="2"/>
    </font>
    <font>
      <b/>
      <u/>
      <sz val="12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sz val="10"/>
      <color rgb="FF001D35"/>
      <name val="Calibri"/>
      <family val="2"/>
      <scheme val="minor"/>
    </font>
    <font>
      <b/>
      <sz val="10"/>
      <color rgb="FF001D35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Aptos Narrow"/>
      <family val="2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color theme="0" tint="-0.34998626667073579"/>
      <name val="Calibri"/>
      <family val="2"/>
      <scheme val="minor"/>
    </font>
    <font>
      <b/>
      <i/>
      <sz val="8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38" fillId="0" borderId="0"/>
  </cellStyleXfs>
  <cellXfs count="939"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4" fillId="0" borderId="22" xfId="0" applyFont="1" applyBorder="1" applyAlignment="1">
      <alignment horizontal="center"/>
    </xf>
    <xf numFmtId="0" fontId="20" fillId="0" borderId="0" xfId="0" applyFont="1"/>
    <xf numFmtId="0" fontId="14" fillId="0" borderId="23" xfId="0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21" fillId="0" borderId="0" xfId="0" applyFont="1"/>
    <xf numFmtId="1" fontId="22" fillId="2" borderId="10" xfId="0" applyNumberFormat="1" applyFont="1" applyFill="1" applyBorder="1" applyAlignment="1" applyProtection="1">
      <alignment horizontal="center"/>
      <protection locked="0"/>
    </xf>
    <xf numFmtId="4" fontId="22" fillId="2" borderId="10" xfId="0" applyNumberFormat="1" applyFont="1" applyFill="1" applyBorder="1" applyAlignment="1" applyProtection="1">
      <alignment horizontal="center"/>
      <protection locked="0"/>
    </xf>
    <xf numFmtId="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14" fillId="0" borderId="10" xfId="0" applyNumberFormat="1" applyFont="1" applyBorder="1"/>
    <xf numFmtId="165" fontId="14" fillId="0" borderId="22" xfId="0" applyNumberFormat="1" applyFont="1" applyBorder="1"/>
    <xf numFmtId="0" fontId="14" fillId="0" borderId="12" xfId="0" applyFont="1" applyBorder="1" applyAlignment="1">
      <alignment horizontal="right"/>
    </xf>
    <xf numFmtId="4" fontId="14" fillId="0" borderId="0" xfId="0" applyNumberFormat="1" applyFont="1" applyAlignment="1">
      <alignment horizontal="center"/>
    </xf>
    <xf numFmtId="165" fontId="14" fillId="0" borderId="24" xfId="0" applyNumberFormat="1" applyFont="1" applyBorder="1" applyAlignment="1">
      <alignment horizontal="right"/>
    </xf>
    <xf numFmtId="165" fontId="19" fillId="0" borderId="1" xfId="0" applyNumberFormat="1" applyFont="1" applyBorder="1"/>
    <xf numFmtId="0" fontId="14" fillId="0" borderId="10" xfId="0" applyFont="1" applyBorder="1"/>
    <xf numFmtId="4" fontId="19" fillId="0" borderId="10" xfId="0" applyNumberFormat="1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8" fillId="0" borderId="10" xfId="0" applyFont="1" applyBorder="1"/>
    <xf numFmtId="4" fontId="18" fillId="0" borderId="10" xfId="0" applyNumberFormat="1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4" fillId="0" borderId="15" xfId="0" applyFont="1" applyBorder="1"/>
    <xf numFmtId="0" fontId="14" fillId="0" borderId="24" xfId="0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28" fillId="2" borderId="10" xfId="0" applyFont="1" applyFill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6" fontId="22" fillId="2" borderId="10" xfId="1" applyNumberFormat="1" applyFont="1" applyFill="1" applyBorder="1" applyAlignment="1" applyProtection="1">
      <alignment horizontal="center" vertical="center"/>
      <protection locked="0"/>
    </xf>
    <xf numFmtId="164" fontId="25" fillId="0" borderId="0" xfId="1" applyFont="1" applyFill="1" applyAlignment="1">
      <alignment vertical="center"/>
    </xf>
    <xf numFmtId="0" fontId="12" fillId="0" borderId="17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66" fontId="1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center"/>
    </xf>
    <xf numFmtId="0" fontId="28" fillId="2" borderId="10" xfId="0" applyFont="1" applyFill="1" applyBorder="1" applyAlignment="1" applyProtection="1">
      <alignment horizontal="right" vertical="center" wrapText="1"/>
      <protection locked="0"/>
    </xf>
    <xf numFmtId="0" fontId="25" fillId="0" borderId="14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30" fillId="0" borderId="0" xfId="0" applyFont="1" applyAlignment="1">
      <alignment horizontal="left" vertical="center" indent="2"/>
    </xf>
    <xf numFmtId="0" fontId="18" fillId="0" borderId="2" xfId="0" applyFont="1" applyBorder="1"/>
    <xf numFmtId="0" fontId="14" fillId="0" borderId="3" xfId="0" applyFont="1" applyBorder="1"/>
    <xf numFmtId="0" fontId="32" fillId="0" borderId="3" xfId="0" applyFont="1" applyBorder="1"/>
    <xf numFmtId="0" fontId="32" fillId="0" borderId="4" xfId="0" applyFont="1" applyBorder="1"/>
    <xf numFmtId="0" fontId="29" fillId="0" borderId="8" xfId="0" applyFont="1" applyBorder="1" applyAlignment="1">
      <alignment horizontal="left" vertical="center" indent="2"/>
    </xf>
    <xf numFmtId="0" fontId="32" fillId="0" borderId="0" xfId="0" applyFont="1"/>
    <xf numFmtId="0" fontId="32" fillId="0" borderId="9" xfId="0" applyFont="1" applyBorder="1"/>
    <xf numFmtId="0" fontId="14" fillId="0" borderId="8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2" fontId="18" fillId="0" borderId="9" xfId="0" applyNumberFormat="1" applyFont="1" applyBorder="1" applyAlignment="1">
      <alignment horizontal="left" vertical="center"/>
    </xf>
    <xf numFmtId="0" fontId="14" fillId="0" borderId="8" xfId="0" applyFont="1" applyBorder="1"/>
    <xf numFmtId="0" fontId="14" fillId="0" borderId="9" xfId="0" applyFont="1" applyBorder="1"/>
    <xf numFmtId="164" fontId="14" fillId="0" borderId="0" xfId="0" applyNumberFormat="1" applyFont="1"/>
    <xf numFmtId="0" fontId="30" fillId="0" borderId="8" xfId="0" applyFont="1" applyBorder="1" applyAlignment="1">
      <alignment horizontal="left" vertical="center" indent="2"/>
    </xf>
    <xf numFmtId="0" fontId="14" fillId="0" borderId="9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2" fontId="37" fillId="0" borderId="0" xfId="0" applyNumberFormat="1" applyFont="1" applyAlignment="1">
      <alignment horizontal="right" vertical="center"/>
    </xf>
    <xf numFmtId="0" fontId="37" fillId="0" borderId="9" xfId="0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3" borderId="31" xfId="0" applyFont="1" applyFill="1" applyBorder="1"/>
    <xf numFmtId="4" fontId="18" fillId="3" borderId="32" xfId="0" applyNumberFormat="1" applyFont="1" applyFill="1" applyBorder="1" applyAlignment="1">
      <alignment horizontal="right" vertical="center"/>
    </xf>
    <xf numFmtId="4" fontId="18" fillId="3" borderId="32" xfId="0" applyNumberFormat="1" applyFont="1" applyFill="1" applyBorder="1" applyAlignment="1">
      <alignment horizontal="left" vertical="center"/>
    </xf>
    <xf numFmtId="0" fontId="32" fillId="3" borderId="32" xfId="0" applyFont="1" applyFill="1" applyBorder="1"/>
    <xf numFmtId="0" fontId="40" fillId="3" borderId="32" xfId="0" applyFont="1" applyFill="1" applyBorder="1" applyAlignment="1">
      <alignment horizontal="right"/>
    </xf>
    <xf numFmtId="2" fontId="41" fillId="3" borderId="26" xfId="0" applyNumberFormat="1" applyFont="1" applyFill="1" applyBorder="1" applyAlignment="1">
      <alignment horizontal="left"/>
    </xf>
    <xf numFmtId="164" fontId="14" fillId="0" borderId="0" xfId="1" applyFont="1" applyFill="1" applyBorder="1" applyProtection="1"/>
    <xf numFmtId="0" fontId="42" fillId="0" borderId="0" xfId="0" applyFont="1"/>
    <xf numFmtId="4" fontId="43" fillId="0" borderId="0" xfId="0" applyNumberFormat="1" applyFont="1" applyAlignment="1">
      <alignment horizontal="right" vertical="center"/>
    </xf>
    <xf numFmtId="164" fontId="43" fillId="0" borderId="0" xfId="1" applyFont="1" applyFill="1" applyBorder="1" applyAlignment="1" applyProtection="1">
      <alignment horizontal="right" vertical="center"/>
    </xf>
    <xf numFmtId="4" fontId="43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right"/>
    </xf>
    <xf numFmtId="2" fontId="45" fillId="0" borderId="0" xfId="0" applyNumberFormat="1" applyFont="1" applyAlignment="1">
      <alignment horizontal="left"/>
    </xf>
    <xf numFmtId="164" fontId="42" fillId="0" borderId="0" xfId="1" applyFont="1" applyFill="1" applyBorder="1" applyProtection="1"/>
    <xf numFmtId="0" fontId="47" fillId="0" borderId="0" xfId="0" applyFont="1"/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1" fontId="22" fillId="2" borderId="10" xfId="0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/>
    <xf numFmtId="0" fontId="46" fillId="0" borderId="24" xfId="0" applyFont="1" applyBorder="1" applyAlignment="1">
      <alignment vertical="center"/>
    </xf>
    <xf numFmtId="0" fontId="46" fillId="0" borderId="28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55" fillId="0" borderId="11" xfId="0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56" fillId="0" borderId="0" xfId="0" applyFont="1"/>
    <xf numFmtId="164" fontId="20" fillId="0" borderId="0" xfId="1" applyFont="1" applyFill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14" fillId="0" borderId="4" xfId="0" applyFont="1" applyBorder="1"/>
    <xf numFmtId="2" fontId="18" fillId="0" borderId="9" xfId="0" applyNumberFormat="1" applyFont="1" applyBorder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0" fontId="61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8" fillId="0" borderId="27" xfId="0" applyFont="1" applyBorder="1" applyAlignment="1">
      <alignment horizontal="left" vertical="center"/>
    </xf>
    <xf numFmtId="2" fontId="37" fillId="0" borderId="0" xfId="0" applyNumberFormat="1" applyFont="1" applyAlignment="1">
      <alignment horizontal="right"/>
    </xf>
    <xf numFmtId="0" fontId="37" fillId="0" borderId="9" xfId="0" applyFont="1" applyBorder="1" applyAlignment="1">
      <alignment horizontal="right"/>
    </xf>
    <xf numFmtId="0" fontId="30" fillId="0" borderId="5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29" fillId="0" borderId="7" xfId="0" applyFont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center" vertical="center"/>
    </xf>
    <xf numFmtId="0" fontId="14" fillId="3" borderId="32" xfId="0" applyFont="1" applyFill="1" applyBorder="1"/>
    <xf numFmtId="0" fontId="14" fillId="3" borderId="26" xfId="0" applyFont="1" applyFill="1" applyBorder="1"/>
    <xf numFmtId="164" fontId="39" fillId="0" borderId="0" xfId="1" applyFont="1" applyFill="1" applyBorder="1" applyAlignment="1" applyProtection="1">
      <alignment horizontal="center" vertical="center"/>
    </xf>
    <xf numFmtId="0" fontId="62" fillId="0" borderId="0" xfId="0" applyFont="1"/>
    <xf numFmtId="0" fontId="63" fillId="0" borderId="0" xfId="0" applyFont="1"/>
    <xf numFmtId="4" fontId="64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right"/>
    </xf>
    <xf numFmtId="2" fontId="65" fillId="0" borderId="0" xfId="0" applyNumberFormat="1" applyFont="1" applyAlignment="1">
      <alignment horizontal="center"/>
    </xf>
    <xf numFmtId="0" fontId="66" fillId="0" borderId="0" xfId="0" applyFont="1"/>
    <xf numFmtId="0" fontId="64" fillId="0" borderId="0" xfId="0" applyFont="1"/>
    <xf numFmtId="0" fontId="67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6" fillId="2" borderId="10" xfId="0" applyFont="1" applyFill="1" applyBorder="1" applyAlignment="1" applyProtection="1">
      <alignment horizontal="right" vertical="center"/>
      <protection locked="0"/>
    </xf>
    <xf numFmtId="0" fontId="55" fillId="0" borderId="27" xfId="0" applyFont="1" applyBorder="1" applyAlignment="1">
      <alignment horizontal="center" vertical="center"/>
    </xf>
    <xf numFmtId="0" fontId="68" fillId="0" borderId="0" xfId="0" applyFont="1"/>
    <xf numFmtId="164" fontId="14" fillId="0" borderId="0" xfId="1" applyFont="1" applyFill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4" fillId="0" borderId="1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6" fillId="2" borderId="10" xfId="0" applyFont="1" applyFill="1" applyBorder="1" applyAlignment="1" applyProtection="1">
      <alignment horizontal="right" vertical="center" wrapText="1"/>
      <protection locked="0"/>
    </xf>
    <xf numFmtId="166" fontId="19" fillId="0" borderId="1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4" fontId="36" fillId="2" borderId="30" xfId="0" applyNumberFormat="1" applyFont="1" applyFill="1" applyBorder="1" applyAlignment="1" applyProtection="1">
      <alignment horizontal="center" vertical="center"/>
      <protection locked="0"/>
    </xf>
    <xf numFmtId="0" fontId="30" fillId="0" borderId="8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70" fillId="0" borderId="6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72" fillId="0" borderId="0" xfId="0" applyFont="1" applyAlignment="1">
      <alignment wrapText="1"/>
    </xf>
    <xf numFmtId="0" fontId="46" fillId="0" borderId="24" xfId="0" applyFont="1" applyBorder="1" applyAlignment="1">
      <alignment horizontal="left"/>
    </xf>
    <xf numFmtId="0" fontId="21" fillId="0" borderId="28" xfId="0" applyFont="1" applyBorder="1" applyAlignment="1">
      <alignment horizontal="right"/>
    </xf>
    <xf numFmtId="0" fontId="73" fillId="0" borderId="0" xfId="0" applyFont="1" applyAlignment="1">
      <alignment horizontal="center" vertical="center"/>
    </xf>
    <xf numFmtId="0" fontId="3" fillId="0" borderId="0" xfId="0" applyFont="1"/>
    <xf numFmtId="0" fontId="3" fillId="0" borderId="9" xfId="0" applyFont="1" applyBorder="1"/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74" fillId="0" borderId="9" xfId="0" applyFont="1" applyBorder="1" applyAlignment="1">
      <alignment horizontal="center" vertical="center"/>
    </xf>
    <xf numFmtId="0" fontId="61" fillId="0" borderId="9" xfId="0" applyFont="1" applyBorder="1"/>
    <xf numFmtId="0" fontId="14" fillId="0" borderId="28" xfId="0" applyFont="1" applyBorder="1"/>
    <xf numFmtId="0" fontId="19" fillId="0" borderId="28" xfId="0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 wrapText="1" indent="2"/>
    </xf>
    <xf numFmtId="0" fontId="74" fillId="0" borderId="6" xfId="0" applyFont="1" applyBorder="1" applyAlignment="1">
      <alignment horizontal="center" vertical="center"/>
    </xf>
    <xf numFmtId="0" fontId="74" fillId="0" borderId="7" xfId="0" applyFont="1" applyBorder="1" applyAlignment="1">
      <alignment horizontal="center" vertical="center"/>
    </xf>
    <xf numFmtId="0" fontId="25" fillId="3" borderId="5" xfId="0" applyFont="1" applyFill="1" applyBorder="1" applyAlignment="1">
      <alignment horizontal="left" vertical="center" wrapText="1" indent="2"/>
    </xf>
    <xf numFmtId="0" fontId="18" fillId="3" borderId="6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left" vertical="center" wrapText="1" indent="2"/>
    </xf>
    <xf numFmtId="0" fontId="25" fillId="3" borderId="6" xfId="0" applyFont="1" applyFill="1" applyBorder="1"/>
    <xf numFmtId="0" fontId="18" fillId="3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 indent="2"/>
    </xf>
    <xf numFmtId="0" fontId="25" fillId="0" borderId="0" xfId="0" applyFont="1"/>
    <xf numFmtId="0" fontId="18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4" fontId="43" fillId="0" borderId="0" xfId="0" applyNumberFormat="1" applyFont="1" applyAlignment="1">
      <alignment horizontal="center" vertical="center"/>
    </xf>
    <xf numFmtId="164" fontId="39" fillId="3" borderId="32" xfId="1" applyFont="1" applyFill="1" applyBorder="1" applyAlignment="1">
      <alignment horizontal="right" vertical="center"/>
    </xf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14" fillId="0" borderId="14" xfId="0" applyFont="1" applyBorder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164" fontId="25" fillId="0" borderId="0" xfId="1" applyFont="1" applyFill="1" applyBorder="1" applyAlignment="1" applyProtection="1">
      <alignment vertical="center"/>
    </xf>
    <xf numFmtId="0" fontId="18" fillId="0" borderId="24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4" fontId="14" fillId="0" borderId="0" xfId="1" applyFont="1" applyFill="1" applyBorder="1" applyAlignment="1" applyProtection="1">
      <alignment vertical="center"/>
    </xf>
    <xf numFmtId="0" fontId="5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4" fillId="0" borderId="17" xfId="0" applyFont="1" applyBorder="1"/>
    <xf numFmtId="0" fontId="14" fillId="0" borderId="18" xfId="0" applyFont="1" applyBorder="1"/>
    <xf numFmtId="0" fontId="39" fillId="0" borderId="0" xfId="0" applyFont="1" applyAlignment="1">
      <alignment vertical="center"/>
    </xf>
    <xf numFmtId="164" fontId="39" fillId="0" borderId="0" xfId="1" applyFont="1" applyAlignment="1" applyProtection="1">
      <alignment vertical="center"/>
    </xf>
    <xf numFmtId="0" fontId="3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/>
    </xf>
    <xf numFmtId="164" fontId="39" fillId="3" borderId="32" xfId="1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0" fontId="61" fillId="0" borderId="15" xfId="0" applyFont="1" applyBorder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61" fillId="0" borderId="0" xfId="0" applyFont="1" applyAlignment="1">
      <alignment horizontal="right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64" fontId="63" fillId="0" borderId="0" xfId="1" applyFont="1" applyAlignment="1" applyProtection="1">
      <alignment horizontal="center" vertical="center"/>
    </xf>
    <xf numFmtId="0" fontId="6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6" fillId="0" borderId="9" xfId="0" applyFont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15" xfId="1" applyFont="1" applyBorder="1" applyAlignment="1" applyProtection="1">
      <alignment horizontal="center" vertical="center"/>
    </xf>
    <xf numFmtId="0" fontId="61" fillId="0" borderId="9" xfId="0" applyFont="1" applyBorder="1" applyAlignment="1">
      <alignment horizontal="center" vertical="center"/>
    </xf>
    <xf numFmtId="164" fontId="64" fillId="0" borderId="0" xfId="1" applyFont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7" fillId="0" borderId="3" xfId="0" applyFont="1" applyBorder="1" applyAlignment="1">
      <alignment horizontal="right" vertical="center"/>
    </xf>
    <xf numFmtId="0" fontId="66" fillId="0" borderId="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0" fontId="66" fillId="0" borderId="0" xfId="0" applyFont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0" fontId="66" fillId="0" borderId="3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164" fontId="63" fillId="0" borderId="0" xfId="1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3" fillId="0" borderId="0" xfId="0" applyNumberFormat="1" applyFont="1" applyAlignment="1">
      <alignment horizontal="center" vertical="center"/>
    </xf>
    <xf numFmtId="164" fontId="66" fillId="0" borderId="0" xfId="0" applyNumberFormat="1" applyFont="1" applyAlignment="1">
      <alignment horizontal="center" vertical="center"/>
    </xf>
    <xf numFmtId="164" fontId="55" fillId="0" borderId="25" xfId="1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87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87" fillId="0" borderId="0" xfId="0" applyFont="1" applyAlignment="1">
      <alignment horizontal="center" vertical="center" wrapText="1"/>
    </xf>
    <xf numFmtId="0" fontId="8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3" fillId="0" borderId="0" xfId="1" applyFont="1" applyBorder="1" applyAlignment="1" applyProtection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19" fillId="0" borderId="28" xfId="0" applyFont="1" applyBorder="1" applyAlignment="1">
      <alignment horizontal="center" vertical="center" wrapText="1"/>
    </xf>
    <xf numFmtId="168" fontId="63" fillId="0" borderId="0" xfId="1" applyNumberFormat="1" applyFont="1" applyAlignment="1" applyProtection="1">
      <alignment horizontal="center" vertical="center"/>
    </xf>
    <xf numFmtId="0" fontId="93" fillId="0" borderId="0" xfId="0" applyFont="1"/>
    <xf numFmtId="0" fontId="85" fillId="0" borderId="0" xfId="0" applyFont="1"/>
    <xf numFmtId="0" fontId="94" fillId="0" borderId="10" xfId="0" applyFont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vertical="center" wrapText="1"/>
    </xf>
    <xf numFmtId="0" fontId="93" fillId="0" borderId="10" xfId="0" applyFont="1" applyBorder="1"/>
    <xf numFmtId="0" fontId="93" fillId="0" borderId="10" xfId="0" applyFont="1" applyBorder="1" applyAlignment="1">
      <alignment horizontal="center"/>
    </xf>
    <xf numFmtId="0" fontId="95" fillId="0" borderId="10" xfId="0" applyFont="1" applyBorder="1" applyAlignment="1">
      <alignment horizontal="center" vertical="center" wrapText="1"/>
    </xf>
    <xf numFmtId="0" fontId="96" fillId="0" borderId="4" xfId="0" applyFont="1" applyBorder="1" applyAlignment="1">
      <alignment horizontal="center" vertical="center"/>
    </xf>
    <xf numFmtId="0" fontId="96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vertical="center"/>
    </xf>
    <xf numFmtId="169" fontId="3" fillId="0" borderId="42" xfId="0" applyNumberFormat="1" applyFont="1" applyBorder="1" applyAlignment="1">
      <alignment horizontal="center" vertical="center"/>
    </xf>
    <xf numFmtId="169" fontId="3" fillId="0" borderId="3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0" borderId="34" xfId="0" applyFont="1" applyFill="1" applyBorder="1" applyAlignment="1">
      <alignment vertical="center"/>
    </xf>
    <xf numFmtId="0" fontId="3" fillId="10" borderId="53" xfId="0" applyFont="1" applyFill="1" applyBorder="1" applyAlignment="1">
      <alignment vertical="center"/>
    </xf>
    <xf numFmtId="0" fontId="3" fillId="10" borderId="54" xfId="0" applyFont="1" applyFill="1" applyBorder="1" applyAlignment="1">
      <alignment vertical="center"/>
    </xf>
    <xf numFmtId="0" fontId="3" fillId="10" borderId="55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6" fillId="0" borderId="0" xfId="2" applyFill="1" applyBorder="1" applyAlignment="1" applyProtection="1"/>
    <xf numFmtId="0" fontId="26" fillId="0" borderId="0" xfId="2" applyBorder="1" applyProtection="1"/>
    <xf numFmtId="0" fontId="26" fillId="0" borderId="0" xfId="2"/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top"/>
    </xf>
    <xf numFmtId="0" fontId="29" fillId="0" borderId="30" xfId="0" applyFont="1" applyBorder="1" applyAlignment="1">
      <alignment horizontal="center" vertical="center"/>
    </xf>
    <xf numFmtId="0" fontId="104" fillId="0" borderId="14" xfId="0" applyFont="1" applyBorder="1" applyAlignment="1">
      <alignment horizontal="right" vertical="center"/>
    </xf>
    <xf numFmtId="0" fontId="104" fillId="0" borderId="16" xfId="0" applyFont="1" applyBorder="1" applyAlignment="1">
      <alignment horizontal="right" vertical="top"/>
    </xf>
    <xf numFmtId="0" fontId="3" fillId="0" borderId="56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170" fontId="8" fillId="0" borderId="0" xfId="3" applyNumberFormat="1" applyFont="1" applyBorder="1" applyAlignment="1" applyProtection="1">
      <alignment horizontal="center" vertical="center"/>
    </xf>
    <xf numFmtId="170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107" fillId="0" borderId="0" xfId="0" applyFont="1" applyAlignment="1">
      <alignment horizontal="center" vertical="center"/>
    </xf>
    <xf numFmtId="0" fontId="6" fillId="11" borderId="11" xfId="0" applyFont="1" applyFill="1" applyBorder="1" applyAlignment="1">
      <alignment horizontal="right" vertical="center"/>
    </xf>
    <xf numFmtId="0" fontId="3" fillId="11" borderId="12" xfId="0" applyFont="1" applyFill="1" applyBorder="1" applyAlignment="1">
      <alignment horizontal="center" vertical="center"/>
    </xf>
    <xf numFmtId="0" fontId="103" fillId="11" borderId="12" xfId="0" applyFont="1" applyFill="1" applyBorder="1" applyAlignment="1">
      <alignment horizontal="center" vertical="center"/>
    </xf>
    <xf numFmtId="0" fontId="3" fillId="11" borderId="48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right" vertical="center"/>
    </xf>
    <xf numFmtId="0" fontId="3" fillId="11" borderId="0" xfId="0" applyFont="1" applyFill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0" fillId="11" borderId="14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20" fillId="11" borderId="16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102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64" fontId="8" fillId="0" borderId="18" xfId="1" applyFont="1" applyBorder="1" applyAlignment="1" applyProtection="1">
      <alignment horizontal="center" vertical="center"/>
    </xf>
    <xf numFmtId="0" fontId="104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/>
    </xf>
    <xf numFmtId="0" fontId="79" fillId="0" borderId="17" xfId="0" applyFont="1" applyBorder="1" applyAlignment="1">
      <alignment horizontal="center" vertical="center"/>
    </xf>
    <xf numFmtId="169" fontId="8" fillId="10" borderId="38" xfId="0" applyNumberFormat="1" applyFont="1" applyFill="1" applyBorder="1" applyAlignment="1">
      <alignment horizontal="center" vertical="center"/>
    </xf>
    <xf numFmtId="169" fontId="8" fillId="10" borderId="40" xfId="0" applyNumberFormat="1" applyFont="1" applyFill="1" applyBorder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169" fontId="8" fillId="10" borderId="44" xfId="0" applyNumberFormat="1" applyFont="1" applyFill="1" applyBorder="1" applyAlignment="1">
      <alignment horizontal="center" vertical="center"/>
    </xf>
    <xf numFmtId="169" fontId="8" fillId="10" borderId="46" xfId="0" applyNumberFormat="1" applyFont="1" applyFill="1" applyBorder="1" applyAlignment="1">
      <alignment horizontal="center" vertical="center"/>
    </xf>
    <xf numFmtId="169" fontId="8" fillId="10" borderId="42" xfId="0" applyNumberFormat="1" applyFont="1" applyFill="1" applyBorder="1" applyAlignment="1">
      <alignment horizontal="center" vertical="center"/>
    </xf>
    <xf numFmtId="169" fontId="8" fillId="10" borderId="30" xfId="0" applyNumberFormat="1" applyFont="1" applyFill="1" applyBorder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0" fontId="98" fillId="0" borderId="4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8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/>
    </xf>
    <xf numFmtId="169" fontId="8" fillId="2" borderId="10" xfId="1" applyNumberFormat="1" applyFont="1" applyFill="1" applyBorder="1" applyAlignment="1">
      <alignment horizontal="center" vertical="center"/>
    </xf>
    <xf numFmtId="164" fontId="3" fillId="0" borderId="30" xfId="1" applyFont="1" applyFill="1" applyBorder="1" applyAlignment="1">
      <alignment horizontal="center" vertical="center"/>
    </xf>
    <xf numFmtId="164" fontId="14" fillId="0" borderId="30" xfId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0" xfId="0" applyNumberFormat="1" applyFont="1" applyAlignment="1">
      <alignment vertical="top"/>
    </xf>
    <xf numFmtId="0" fontId="5" fillId="0" borderId="44" xfId="0" applyFont="1" applyBorder="1" applyAlignment="1">
      <alignment horizontal="center" vertical="center" wrapText="1"/>
    </xf>
    <xf numFmtId="169" fontId="8" fillId="2" borderId="45" xfId="1" applyNumberFormat="1" applyFont="1" applyFill="1" applyBorder="1" applyAlignment="1">
      <alignment horizontal="center" vertical="center"/>
    </xf>
    <xf numFmtId="164" fontId="3" fillId="0" borderId="45" xfId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4" fontId="3" fillId="0" borderId="46" xfId="1" applyFont="1" applyFill="1" applyBorder="1" applyAlignment="1">
      <alignment horizontal="center" vertical="center"/>
    </xf>
    <xf numFmtId="169" fontId="109" fillId="2" borderId="10" xfId="1" applyNumberFormat="1" applyFont="1" applyFill="1" applyBorder="1" applyAlignment="1">
      <alignment horizontal="center" vertical="center"/>
    </xf>
    <xf numFmtId="169" fontId="110" fillId="2" borderId="10" xfId="1" applyNumberFormat="1" applyFont="1" applyFill="1" applyBorder="1" applyAlignment="1">
      <alignment horizontal="center" vertical="center"/>
    </xf>
    <xf numFmtId="169" fontId="110" fillId="2" borderId="45" xfId="1" applyNumberFormat="1" applyFont="1" applyFill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 wrapText="1"/>
    </xf>
    <xf numFmtId="169" fontId="3" fillId="0" borderId="10" xfId="1" applyNumberFormat="1" applyFont="1" applyFill="1" applyBorder="1" applyAlignment="1">
      <alignment horizontal="center" vertical="center"/>
    </xf>
    <xf numFmtId="169" fontId="3" fillId="0" borderId="45" xfId="1" applyNumberFormat="1" applyFont="1" applyFill="1" applyBorder="1" applyAlignment="1">
      <alignment horizontal="center" vertical="center"/>
    </xf>
    <xf numFmtId="16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 indent="2"/>
    </xf>
    <xf numFmtId="0" fontId="14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9" fontId="50" fillId="0" borderId="10" xfId="0" applyNumberFormat="1" applyFont="1" applyBorder="1" applyAlignment="1">
      <alignment horizontal="center" vertical="center" wrapText="1"/>
    </xf>
    <xf numFmtId="164" fontId="39" fillId="3" borderId="32" xfId="1" applyFont="1" applyFill="1" applyBorder="1" applyAlignment="1" applyProtection="1">
      <alignment horizontal="center" vertical="center"/>
    </xf>
    <xf numFmtId="164" fontId="91" fillId="0" borderId="0" xfId="1" applyFont="1" applyFill="1" applyBorder="1" applyAlignment="1" applyProtection="1">
      <alignment horizontal="center" vertical="center"/>
    </xf>
    <xf numFmtId="0" fontId="69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105" fillId="0" borderId="0" xfId="0" applyFont="1" applyAlignment="1">
      <alignment horizontal="right" vertical="center"/>
    </xf>
    <xf numFmtId="0" fontId="84" fillId="0" borderId="0" xfId="0" applyFont="1" applyAlignment="1">
      <alignment horizontal="left" vertical="center"/>
    </xf>
    <xf numFmtId="0" fontId="20" fillId="0" borderId="9" xfId="0" applyFont="1" applyBorder="1" applyAlignment="1">
      <alignment horizontal="right" vertical="center"/>
    </xf>
    <xf numFmtId="0" fontId="108" fillId="0" borderId="9" xfId="0" applyFont="1" applyBorder="1" applyAlignment="1">
      <alignment horizontal="right" vertical="center"/>
    </xf>
    <xf numFmtId="164" fontId="8" fillId="0" borderId="1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14" fillId="0" borderId="15" xfId="0" applyFont="1" applyBorder="1" applyAlignment="1">
      <alignment horizontal="right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15" fillId="0" borderId="0" xfId="0" applyFont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116" fillId="0" borderId="8" xfId="0" applyFont="1" applyBorder="1" applyAlignment="1">
      <alignment horizontal="left" vertical="center" indent="2"/>
    </xf>
    <xf numFmtId="0" fontId="106" fillId="0" borderId="8" xfId="0" applyFont="1" applyBorder="1" applyAlignment="1">
      <alignment horizontal="left" vertical="center" indent="2"/>
    </xf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0" fontId="114" fillId="0" borderId="0" xfId="0" applyFont="1" applyAlignment="1">
      <alignment vertical="center"/>
    </xf>
    <xf numFmtId="0" fontId="114" fillId="0" borderId="0" xfId="0" applyFont="1" applyAlignment="1">
      <alignment vertical="top"/>
    </xf>
    <xf numFmtId="0" fontId="114" fillId="0" borderId="14" xfId="0" applyFont="1" applyBorder="1" applyAlignment="1">
      <alignment horizontal="left" vertical="center"/>
    </xf>
    <xf numFmtId="0" fontId="114" fillId="0" borderId="14" xfId="0" applyFont="1" applyBorder="1" applyAlignment="1">
      <alignment vertical="top"/>
    </xf>
    <xf numFmtId="0" fontId="26" fillId="0" borderId="0" xfId="2" applyBorder="1" applyAlignment="1" applyProtection="1">
      <alignment horizontal="left" vertical="center"/>
    </xf>
    <xf numFmtId="0" fontId="26" fillId="0" borderId="0" xfId="2" applyBorder="1" applyAlignment="1" applyProtection="1">
      <alignment horizontal="left" vertical="center" indent="2"/>
    </xf>
    <xf numFmtId="0" fontId="97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164" fontId="19" fillId="0" borderId="26" xfId="1" applyFont="1" applyBorder="1" applyAlignment="1">
      <alignment horizontal="center" vertical="center"/>
    </xf>
    <xf numFmtId="164" fontId="19" fillId="3" borderId="26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indent="1"/>
    </xf>
    <xf numFmtId="2" fontId="36" fillId="2" borderId="1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/>
    </xf>
    <xf numFmtId="0" fontId="24" fillId="0" borderId="0" xfId="0" applyFont="1"/>
    <xf numFmtId="0" fontId="18" fillId="0" borderId="30" xfId="0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left"/>
    </xf>
    <xf numFmtId="172" fontId="8" fillId="0" borderId="10" xfId="0" applyNumberFormat="1" applyFont="1" applyBorder="1" applyAlignment="1">
      <alignment horizontal="center" vertical="center"/>
    </xf>
    <xf numFmtId="164" fontId="19" fillId="15" borderId="1" xfId="1" applyFont="1" applyFill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center" vertical="center"/>
    </xf>
    <xf numFmtId="166" fontId="63" fillId="0" borderId="0" xfId="0" applyNumberFormat="1" applyFont="1" applyAlignment="1">
      <alignment horizontal="center" vertical="center"/>
    </xf>
    <xf numFmtId="173" fontId="63" fillId="0" borderId="0" xfId="0" applyNumberFormat="1" applyFont="1" applyAlignment="1">
      <alignment horizontal="center" vertical="center"/>
    </xf>
    <xf numFmtId="173" fontId="64" fillId="0" borderId="0" xfId="1" applyNumberFormat="1" applyFont="1" applyAlignment="1" applyProtection="1">
      <alignment horizontal="center" vertical="center"/>
    </xf>
    <xf numFmtId="166" fontId="63" fillId="0" borderId="0" xfId="1" applyNumberFormat="1" applyFont="1" applyAlignment="1" applyProtection="1">
      <alignment horizontal="center" vertical="center"/>
    </xf>
    <xf numFmtId="0" fontId="124" fillId="0" borderId="0" xfId="0" applyFont="1" applyAlignment="1">
      <alignment horizontal="left"/>
    </xf>
    <xf numFmtId="0" fontId="124" fillId="0" borderId="0" xfId="0" applyFont="1" applyAlignment="1">
      <alignment horizontal="left" vertical="center"/>
    </xf>
    <xf numFmtId="0" fontId="124" fillId="0" borderId="0" xfId="0" applyFont="1" applyAlignment="1">
      <alignment horizontal="left" vertical="top"/>
    </xf>
    <xf numFmtId="0" fontId="126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center" vertical="center"/>
    </xf>
    <xf numFmtId="44" fontId="8" fillId="0" borderId="27" xfId="0" applyNumberFormat="1" applyFont="1" applyBorder="1" applyAlignment="1">
      <alignment horizontal="center" vertical="center"/>
    </xf>
    <xf numFmtId="164" fontId="102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63" fillId="0" borderId="0" xfId="1" applyFont="1" applyAlignment="1" applyProtection="1">
      <alignment vertical="center"/>
    </xf>
    <xf numFmtId="164" fontId="102" fillId="0" borderId="0" xfId="1" applyFont="1" applyAlignment="1" applyProtection="1">
      <alignment horizontal="center" vertical="center"/>
    </xf>
    <xf numFmtId="0" fontId="102" fillId="0" borderId="0" xfId="0" applyFont="1" applyAlignment="1">
      <alignment vertical="center"/>
    </xf>
    <xf numFmtId="164" fontId="102" fillId="0" borderId="0" xfId="1" applyFont="1" applyAlignment="1" applyProtection="1">
      <alignment vertical="center"/>
    </xf>
    <xf numFmtId="0" fontId="26" fillId="0" borderId="0" xfId="2" applyBorder="1" applyAlignment="1" applyProtection="1">
      <alignment horizontal="center" vertical="center"/>
    </xf>
    <xf numFmtId="0" fontId="4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21" fillId="16" borderId="10" xfId="0" applyFont="1" applyFill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center"/>
    </xf>
    <xf numFmtId="7" fontId="102" fillId="0" borderId="0" xfId="1" applyNumberFormat="1" applyFont="1" applyAlignment="1" applyProtection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61" fillId="0" borderId="28" xfId="0" applyFont="1" applyBorder="1" applyAlignment="1">
      <alignment horizontal="right" vertical="center"/>
    </xf>
    <xf numFmtId="0" fontId="55" fillId="0" borderId="22" xfId="0" applyFont="1" applyBorder="1" applyAlignment="1">
      <alignment horizontal="right" vertical="center"/>
    </xf>
    <xf numFmtId="0" fontId="55" fillId="0" borderId="23" xfId="0" applyFont="1" applyBorder="1" applyAlignment="1">
      <alignment horizontal="right" vertical="center"/>
    </xf>
    <xf numFmtId="0" fontId="20" fillId="16" borderId="10" xfId="0" applyFont="1" applyFill="1" applyBorder="1" applyAlignment="1">
      <alignment horizontal="center" vertical="center"/>
    </xf>
    <xf numFmtId="0" fontId="28" fillId="2" borderId="22" xfId="0" applyFont="1" applyFill="1" applyBorder="1" applyAlignment="1" applyProtection="1">
      <alignment horizontal="right" vertical="center" wrapText="1"/>
      <protection locked="0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27" fillId="0" borderId="0" xfId="0" applyFont="1"/>
    <xf numFmtId="0" fontId="18" fillId="0" borderId="16" xfId="0" applyFont="1" applyBorder="1" applyAlignment="1">
      <alignment horizontal="center" vertical="center"/>
    </xf>
    <xf numFmtId="166" fontId="19" fillId="0" borderId="23" xfId="0" applyNumberFormat="1" applyFont="1" applyBorder="1" applyAlignment="1">
      <alignment horizontal="center" vertical="center" wrapText="1"/>
    </xf>
    <xf numFmtId="0" fontId="103" fillId="0" borderId="16" xfId="0" applyFont="1" applyBorder="1" applyAlignment="1">
      <alignment horizontal="left" vertical="center"/>
    </xf>
    <xf numFmtId="0" fontId="114" fillId="0" borderId="18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14" fillId="0" borderId="28" xfId="0" applyFont="1" applyBorder="1" applyAlignment="1">
      <alignment vertical="center"/>
    </xf>
    <xf numFmtId="0" fontId="14" fillId="0" borderId="27" xfId="0" applyFont="1" applyBorder="1"/>
    <xf numFmtId="0" fontId="14" fillId="0" borderId="16" xfId="0" applyFont="1" applyBorder="1" applyAlignment="1">
      <alignment horizontal="center" vertical="center"/>
    </xf>
    <xf numFmtId="0" fontId="127" fillId="0" borderId="28" xfId="0" applyFont="1" applyBorder="1"/>
    <xf numFmtId="175" fontId="20" fillId="16" borderId="10" xfId="0" applyNumberFormat="1" applyFont="1" applyFill="1" applyBorder="1" applyAlignment="1">
      <alignment horizontal="center" vertical="center"/>
    </xf>
    <xf numFmtId="2" fontId="21" fillId="16" borderId="10" xfId="0" applyNumberFormat="1" applyFont="1" applyFill="1" applyBorder="1" applyAlignment="1">
      <alignment horizontal="center" vertical="center"/>
    </xf>
    <xf numFmtId="0" fontId="129" fillId="0" borderId="0" xfId="0" applyFont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30" fillId="0" borderId="0" xfId="0" applyFont="1" applyAlignment="1">
      <alignment vertical="center"/>
    </xf>
    <xf numFmtId="0" fontId="131" fillId="0" borderId="0" xfId="0" applyFont="1"/>
    <xf numFmtId="0" fontId="132" fillId="0" borderId="0" xfId="0" applyFont="1" applyAlignment="1">
      <alignment horizontal="center"/>
    </xf>
    <xf numFmtId="0" fontId="133" fillId="0" borderId="0" xfId="0" applyFont="1"/>
    <xf numFmtId="0" fontId="132" fillId="0" borderId="0" xfId="0" applyFont="1"/>
    <xf numFmtId="0" fontId="133" fillId="0" borderId="0" xfId="0" applyFont="1" applyAlignment="1">
      <alignment horizontal="center"/>
    </xf>
    <xf numFmtId="0" fontId="134" fillId="0" borderId="0" xfId="0" applyFont="1" applyAlignment="1">
      <alignment horizontal="right" vertical="center"/>
    </xf>
    <xf numFmtId="164" fontId="19" fillId="0" borderId="0" xfId="1" applyFont="1" applyBorder="1" applyAlignment="1" applyProtection="1">
      <alignment horizontal="center" vertical="center"/>
    </xf>
    <xf numFmtId="0" fontId="26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7" fillId="0" borderId="0" xfId="0" applyFont="1" applyAlignment="1" applyProtection="1">
      <alignment horizontal="left" vertical="center"/>
      <protection locked="0"/>
    </xf>
    <xf numFmtId="0" fontId="36" fillId="0" borderId="0" xfId="0" applyFont="1"/>
    <xf numFmtId="0" fontId="55" fillId="16" borderId="27" xfId="0" applyFont="1" applyFill="1" applyBorder="1" applyAlignment="1">
      <alignment horizontal="center" vertical="center"/>
    </xf>
    <xf numFmtId="0" fontId="55" fillId="16" borderId="10" xfId="0" applyFont="1" applyFill="1" applyBorder="1" applyAlignment="1">
      <alignment horizontal="center" vertical="center"/>
    </xf>
    <xf numFmtId="0" fontId="135" fillId="0" borderId="0" xfId="0" applyFont="1"/>
    <xf numFmtId="0" fontId="134" fillId="0" borderId="0" xfId="0" applyFont="1" applyAlignment="1">
      <alignment horizontal="left" vertical="center"/>
    </xf>
    <xf numFmtId="164" fontId="0" fillId="0" borderId="0" xfId="1" applyFont="1"/>
    <xf numFmtId="0" fontId="138" fillId="0" borderId="0" xfId="4"/>
    <xf numFmtId="164" fontId="0" fillId="0" borderId="0" xfId="1" applyFont="1" applyFill="1"/>
    <xf numFmtId="0" fontId="0" fillId="0" borderId="59" xfId="0" applyBorder="1"/>
    <xf numFmtId="0" fontId="2" fillId="2" borderId="37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0" fillId="0" borderId="61" xfId="0" applyBorder="1"/>
    <xf numFmtId="0" fontId="0" fillId="0" borderId="41" xfId="0" applyBorder="1"/>
    <xf numFmtId="164" fontId="0" fillId="0" borderId="41" xfId="1" applyFont="1" applyBorder="1"/>
    <xf numFmtId="164" fontId="0" fillId="0" borderId="60" xfId="1" applyFont="1" applyBorder="1"/>
    <xf numFmtId="0" fontId="0" fillId="0" borderId="43" xfId="0" applyBorder="1"/>
    <xf numFmtId="164" fontId="0" fillId="0" borderId="43" xfId="1" applyFont="1" applyBorder="1"/>
    <xf numFmtId="0" fontId="0" fillId="0" borderId="62" xfId="0" applyBorder="1"/>
    <xf numFmtId="0" fontId="125" fillId="0" borderId="61" xfId="0" applyFont="1" applyBorder="1" applyAlignment="1">
      <alignment horizontal="center" wrapText="1"/>
    </xf>
    <xf numFmtId="0" fontId="139" fillId="0" borderId="0" xfId="0" applyFont="1"/>
    <xf numFmtId="0" fontId="141" fillId="0" borderId="14" xfId="0" applyFont="1" applyBorder="1" applyAlignment="1">
      <alignment vertical="center"/>
    </xf>
    <xf numFmtId="0" fontId="141" fillId="0" borderId="16" xfId="0" applyFont="1" applyBorder="1" applyAlignment="1">
      <alignment vertical="center"/>
    </xf>
    <xf numFmtId="0" fontId="114" fillId="0" borderId="14" xfId="0" applyFont="1" applyBorder="1" applyAlignment="1">
      <alignment vertical="center"/>
    </xf>
    <xf numFmtId="0" fontId="141" fillId="0" borderId="0" xfId="0" applyFont="1" applyAlignment="1">
      <alignment vertical="center"/>
    </xf>
    <xf numFmtId="0" fontId="141" fillId="0" borderId="17" xfId="0" applyFont="1" applyBorder="1" applyAlignment="1">
      <alignment vertical="center"/>
    </xf>
    <xf numFmtId="0" fontId="143" fillId="0" borderId="0" xfId="0" applyFont="1"/>
    <xf numFmtId="167" fontId="144" fillId="0" borderId="0" xfId="0" applyNumberFormat="1" applyFont="1"/>
    <xf numFmtId="164" fontId="145" fillId="0" borderId="0" xfId="1" applyFont="1" applyBorder="1" applyAlignment="1" applyProtection="1">
      <alignment horizontal="center" vertical="center"/>
    </xf>
    <xf numFmtId="7" fontId="63" fillId="0" borderId="0" xfId="1" applyNumberFormat="1" applyFont="1" applyAlignment="1" applyProtection="1">
      <alignment horizontal="center" vertical="center"/>
    </xf>
    <xf numFmtId="0" fontId="0" fillId="0" borderId="41" xfId="0" applyBorder="1" applyAlignment="1">
      <alignment wrapText="1"/>
    </xf>
    <xf numFmtId="0" fontId="0" fillId="0" borderId="0" xfId="0" applyAlignment="1">
      <alignment wrapText="1"/>
    </xf>
    <xf numFmtId="164" fontId="146" fillId="0" borderId="0" xfId="1" applyFont="1" applyAlignment="1" applyProtection="1">
      <alignment horizontal="center" vertical="center"/>
    </xf>
    <xf numFmtId="0" fontId="146" fillId="0" borderId="0" xfId="0" applyFont="1" applyAlignment="1">
      <alignment horizontal="left" vertical="center"/>
    </xf>
    <xf numFmtId="164" fontId="146" fillId="0" borderId="0" xfId="1" applyFont="1" applyBorder="1" applyAlignment="1" applyProtection="1">
      <alignment horizontal="center" vertical="center"/>
    </xf>
    <xf numFmtId="0" fontId="147" fillId="0" borderId="0" xfId="0" applyFont="1" applyAlignment="1">
      <alignment vertical="center"/>
    </xf>
    <xf numFmtId="0" fontId="149" fillId="0" borderId="0" xfId="0" applyFont="1"/>
    <xf numFmtId="0" fontId="149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171" fontId="18" fillId="0" borderId="10" xfId="0" applyNumberFormat="1" applyFont="1" applyFill="1" applyBorder="1" applyAlignment="1" applyProtection="1">
      <alignment horizontal="center" vertical="center"/>
    </xf>
    <xf numFmtId="0" fontId="14" fillId="0" borderId="0" xfId="0" applyFont="1" applyProtection="1"/>
    <xf numFmtId="0" fontId="121" fillId="0" borderId="0" xfId="2" applyFont="1" applyAlignment="1" applyProtection="1">
      <alignment vertical="center"/>
    </xf>
    <xf numFmtId="2" fontId="18" fillId="0" borderId="10" xfId="0" applyNumberFormat="1" applyFont="1" applyFill="1" applyBorder="1" applyAlignment="1" applyProtection="1">
      <alignment horizontal="center" vertical="center"/>
    </xf>
    <xf numFmtId="0" fontId="21" fillId="0" borderId="0" xfId="0" applyFont="1" applyProtection="1"/>
    <xf numFmtId="0" fontId="121" fillId="0" borderId="0" xfId="2" applyFont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9" fontId="19" fillId="2" borderId="38" xfId="0" applyNumberFormat="1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vertical="center"/>
    </xf>
    <xf numFmtId="0" fontId="19" fillId="2" borderId="40" xfId="0" applyFont="1" applyFill="1" applyBorder="1" applyAlignment="1">
      <alignment vertical="center"/>
    </xf>
    <xf numFmtId="169" fontId="83" fillId="2" borderId="42" xfId="0" applyNumberFormat="1" applyFont="1" applyFill="1" applyBorder="1" applyAlignment="1">
      <alignment horizontal="center" vertical="center"/>
    </xf>
    <xf numFmtId="0" fontId="83" fillId="2" borderId="10" xfId="0" applyFont="1" applyFill="1" applyBorder="1" applyAlignment="1">
      <alignment horizontal="center" vertical="center"/>
    </xf>
    <xf numFmtId="169" fontId="83" fillId="2" borderId="10" xfId="0" applyNumberFormat="1" applyFont="1" applyFill="1" applyBorder="1" applyAlignment="1">
      <alignment horizontal="center" vertical="center"/>
    </xf>
    <xf numFmtId="0" fontId="83" fillId="2" borderId="3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18" fillId="2" borderId="39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2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2" fontId="8" fillId="0" borderId="24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69" fontId="19" fillId="2" borderId="42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vertical="center"/>
    </xf>
    <xf numFmtId="0" fontId="18" fillId="2" borderId="30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86" fillId="2" borderId="24" xfId="0" applyFont="1" applyFill="1" applyBorder="1" applyAlignment="1" applyProtection="1">
      <alignment horizontal="center" vertical="center"/>
      <protection locked="0"/>
    </xf>
    <xf numFmtId="0" fontId="86" fillId="2" borderId="27" xfId="0" applyFont="1" applyFill="1" applyBorder="1" applyAlignment="1" applyProtection="1">
      <alignment horizontal="center" vertical="center"/>
      <protection locked="0"/>
    </xf>
    <xf numFmtId="174" fontId="3" fillId="2" borderId="24" xfId="1" applyNumberFormat="1" applyFont="1" applyFill="1" applyBorder="1" applyAlignment="1" applyProtection="1">
      <alignment horizontal="center" vertical="center"/>
      <protection locked="0"/>
    </xf>
    <xf numFmtId="174" fontId="0" fillId="2" borderId="27" xfId="1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164" fontId="8" fillId="0" borderId="0" xfId="1" applyFont="1" applyFill="1" applyBorder="1" applyAlignment="1" applyProtection="1">
      <alignment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0" xfId="1" applyFont="1" applyAlignment="1" applyProtection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8" fillId="5" borderId="9" xfId="0" applyFont="1" applyFill="1" applyBorder="1" applyAlignment="1">
      <alignment horizontal="center" vertical="center"/>
    </xf>
    <xf numFmtId="0" fontId="137" fillId="0" borderId="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9" fillId="9" borderId="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left" vertical="center" wrapText="1" indent="1"/>
    </xf>
    <xf numFmtId="0" fontId="18" fillId="0" borderId="34" xfId="0" applyFont="1" applyBorder="1" applyAlignment="1">
      <alignment horizontal="left" vertical="center" wrapText="1" indent="1"/>
    </xf>
    <xf numFmtId="0" fontId="18" fillId="0" borderId="35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6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left" vertical="center" wrapText="1" indent="1"/>
    </xf>
    <xf numFmtId="0" fontId="41" fillId="0" borderId="2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26" fillId="0" borderId="0" xfId="2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6" fillId="0" borderId="29" xfId="0" applyFont="1" applyBorder="1" applyAlignment="1">
      <alignment horizontal="left" vertical="center" wrapText="1" indent="2"/>
    </xf>
    <xf numFmtId="0" fontId="30" fillId="0" borderId="28" xfId="0" applyFont="1" applyBorder="1" applyAlignment="1">
      <alignment horizontal="left" vertical="center" wrapText="1" indent="2"/>
    </xf>
    <xf numFmtId="0" fontId="0" fillId="0" borderId="27" xfId="0" applyBorder="1" applyAlignment="1">
      <alignment horizontal="left" indent="2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top" wrapText="1" indent="3"/>
    </xf>
    <xf numFmtId="0" fontId="34" fillId="0" borderId="0" xfId="0" applyFont="1" applyAlignment="1">
      <alignment horizontal="left" vertical="top" wrapText="1" indent="3"/>
    </xf>
    <xf numFmtId="0" fontId="27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7" xfId="0" applyBorder="1"/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right" vertical="center"/>
    </xf>
    <xf numFmtId="0" fontId="52" fillId="0" borderId="27" xfId="0" applyFont="1" applyBorder="1" applyAlignment="1">
      <alignment horizontal="right" vertical="center"/>
    </xf>
    <xf numFmtId="0" fontId="49" fillId="0" borderId="10" xfId="0" applyFont="1" applyBorder="1" applyAlignment="1">
      <alignment horizontal="right" vertical="center" wrapText="1"/>
    </xf>
    <xf numFmtId="0" fontId="26" fillId="0" borderId="0" xfId="2" applyFill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1" fontId="22" fillId="2" borderId="22" xfId="0" applyNumberFormat="1" applyFont="1" applyFill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9" fontId="50" fillId="0" borderId="10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left" vertical="top" wrapText="1" indent="3"/>
    </xf>
    <xf numFmtId="0" fontId="0" fillId="0" borderId="28" xfId="0" applyBorder="1" applyAlignment="1">
      <alignment horizontal="left" vertical="center" wrapText="1" indent="2"/>
    </xf>
    <xf numFmtId="0" fontId="0" fillId="0" borderId="27" xfId="0" applyBorder="1" applyAlignment="1">
      <alignment horizontal="left" wrapText="1" indent="2"/>
    </xf>
    <xf numFmtId="164" fontId="39" fillId="3" borderId="32" xfId="1" applyFont="1" applyFill="1" applyBorder="1" applyAlignment="1" applyProtection="1">
      <alignment horizontal="center" vertical="center"/>
    </xf>
    <xf numFmtId="0" fontId="112" fillId="0" borderId="24" xfId="0" applyFont="1" applyBorder="1" applyAlignment="1">
      <alignment horizontal="center" vertical="center"/>
    </xf>
    <xf numFmtId="0" fontId="112" fillId="0" borderId="27" xfId="0" applyFont="1" applyBorder="1" applyAlignment="1">
      <alignment horizontal="center" vertical="center"/>
    </xf>
    <xf numFmtId="0" fontId="57" fillId="0" borderId="0" xfId="0" applyFont="1" applyAlignment="1">
      <alignment wrapText="1"/>
    </xf>
    <xf numFmtId="0" fontId="58" fillId="0" borderId="0" xfId="0" applyFont="1"/>
    <xf numFmtId="0" fontId="18" fillId="0" borderId="8" xfId="0" applyFont="1" applyBorder="1" applyAlignment="1">
      <alignment horizontal="left" vertical="center" wrapText="1" indent="2"/>
    </xf>
    <xf numFmtId="0" fontId="59" fillId="0" borderId="0" xfId="0" applyFont="1" applyAlignment="1">
      <alignment horizontal="left" vertical="center" wrapText="1" indent="2"/>
    </xf>
    <xf numFmtId="0" fontId="30" fillId="0" borderId="29" xfId="0" applyFont="1" applyBorder="1" applyAlignment="1">
      <alignment horizontal="left" vertical="center" wrapText="1" indent="2"/>
    </xf>
    <xf numFmtId="0" fontId="125" fillId="0" borderId="28" xfId="0" applyFont="1" applyBorder="1" applyAlignment="1">
      <alignment horizontal="left" vertical="center" wrapText="1" indent="2"/>
    </xf>
    <xf numFmtId="0" fontId="125" fillId="0" borderId="28" xfId="0" applyFont="1" applyBorder="1" applyAlignment="1">
      <alignment horizontal="left" wrapText="1" indent="2"/>
    </xf>
    <xf numFmtId="0" fontId="125" fillId="0" borderId="27" xfId="0" applyFont="1" applyBorder="1" applyAlignment="1">
      <alignment horizontal="left" wrapText="1" indent="2"/>
    </xf>
    <xf numFmtId="0" fontId="22" fillId="0" borderId="8" xfId="0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102" fillId="0" borderId="11" xfId="0" applyFont="1" applyBorder="1" applyAlignment="1">
      <alignment horizontal="center" vertical="center" wrapText="1"/>
    </xf>
    <xf numFmtId="0" fontId="142" fillId="0" borderId="13" xfId="0" applyFont="1" applyBorder="1" applyAlignment="1">
      <alignment horizontal="center" vertical="center" wrapText="1"/>
    </xf>
    <xf numFmtId="0" fontId="142" fillId="0" borderId="16" xfId="0" applyFont="1" applyBorder="1" applyAlignment="1">
      <alignment horizontal="center" vertical="center" wrapText="1"/>
    </xf>
    <xf numFmtId="0" fontId="142" fillId="0" borderId="18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88" fillId="0" borderId="5" xfId="0" applyFont="1" applyBorder="1" applyAlignment="1">
      <alignment horizontal="left" vertical="center" wrapText="1" indent="1"/>
    </xf>
    <xf numFmtId="0" fontId="46" fillId="0" borderId="28" xfId="0" applyFont="1" applyBorder="1" applyAlignment="1">
      <alignment horizontal="right"/>
    </xf>
    <xf numFmtId="0" fontId="52" fillId="0" borderId="27" xfId="0" applyFont="1" applyBorder="1" applyAlignment="1">
      <alignment horizontal="right"/>
    </xf>
    <xf numFmtId="164" fontId="42" fillId="0" borderId="0" xfId="1" applyFont="1" applyBorder="1" applyAlignment="1">
      <alignment vertical="center"/>
    </xf>
    <xf numFmtId="164" fontId="39" fillId="3" borderId="6" xfId="1" applyFont="1" applyFill="1" applyBorder="1" applyAlignment="1">
      <alignment horizontal="left" vertical="center" indent="2"/>
    </xf>
    <xf numFmtId="164" fontId="39" fillId="0" borderId="6" xfId="1" applyFont="1" applyBorder="1" applyAlignment="1">
      <alignment horizontal="left" vertical="center" indent="2"/>
    </xf>
    <xf numFmtId="164" fontId="75" fillId="0" borderId="0" xfId="1" applyFont="1" applyBorder="1" applyAlignment="1">
      <alignment vertical="center"/>
    </xf>
    <xf numFmtId="0" fontId="91" fillId="0" borderId="11" xfId="0" applyFont="1" applyBorder="1" applyAlignment="1">
      <alignment horizontal="center" vertical="center" wrapText="1"/>
    </xf>
    <xf numFmtId="0" fontId="92" fillId="0" borderId="12" xfId="0" applyFont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92" fillId="0" borderId="16" xfId="0" applyFont="1" applyBorder="1" applyAlignment="1">
      <alignment vertical="center" wrapText="1"/>
    </xf>
    <xf numFmtId="0" fontId="92" fillId="0" borderId="17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87" fillId="0" borderId="2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 wrapText="1"/>
    </xf>
    <xf numFmtId="0" fontId="87" fillId="0" borderId="5" xfId="0" applyFont="1" applyBorder="1" applyAlignment="1">
      <alignment horizontal="center" vertical="center" wrapText="1"/>
    </xf>
    <xf numFmtId="0" fontId="88" fillId="0" borderId="33" xfId="0" applyFont="1" applyBorder="1" applyAlignment="1">
      <alignment horizontal="left" vertical="center" wrapText="1" indent="1"/>
    </xf>
    <xf numFmtId="0" fontId="88" fillId="0" borderId="29" xfId="0" applyFont="1" applyBorder="1" applyAlignment="1">
      <alignment horizontal="left" vertical="center" wrapText="1" indent="1"/>
    </xf>
    <xf numFmtId="0" fontId="18" fillId="0" borderId="28" xfId="0" applyFont="1" applyBorder="1" applyAlignment="1">
      <alignment horizontal="left" vertical="center" wrapText="1" indent="1"/>
    </xf>
    <xf numFmtId="0" fontId="18" fillId="0" borderId="36" xfId="0" applyFont="1" applyBorder="1" applyAlignment="1">
      <alignment horizontal="left" vertical="center" wrapText="1" indent="1"/>
    </xf>
    <xf numFmtId="0" fontId="116" fillId="0" borderId="28" xfId="0" applyFont="1" applyBorder="1" applyAlignment="1">
      <alignment horizontal="left" vertical="center" wrapText="1" indent="2"/>
    </xf>
    <xf numFmtId="0" fontId="125" fillId="0" borderId="27" xfId="0" applyFont="1" applyBorder="1" applyAlignment="1">
      <alignment horizontal="left" indent="2"/>
    </xf>
    <xf numFmtId="0" fontId="87" fillId="0" borderId="37" xfId="0" applyFont="1" applyBorder="1" applyAlignment="1">
      <alignment horizontal="center" vertical="center" wrapText="1"/>
    </xf>
    <xf numFmtId="0" fontId="87" fillId="0" borderId="41" xfId="0" applyFont="1" applyBorder="1" applyAlignment="1">
      <alignment horizontal="center" vertical="center" wrapText="1"/>
    </xf>
    <xf numFmtId="0" fontId="87" fillId="0" borderId="43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18" fillId="0" borderId="40" xfId="0" applyFont="1" applyBorder="1" applyAlignment="1">
      <alignment horizontal="left" vertical="center" wrapText="1" indent="1"/>
    </xf>
    <xf numFmtId="0" fontId="18" fillId="0" borderId="42" xfId="0" applyFont="1" applyBorder="1" applyAlignment="1">
      <alignment horizontal="left" vertical="center" wrapText="1" indent="1"/>
    </xf>
    <xf numFmtId="0" fontId="18" fillId="0" borderId="10" xfId="0" applyFont="1" applyBorder="1" applyAlignment="1">
      <alignment horizontal="left" vertical="center" wrapText="1" indent="1"/>
    </xf>
    <xf numFmtId="0" fontId="18" fillId="0" borderId="30" xfId="0" applyFont="1" applyBorder="1" applyAlignment="1">
      <alignment horizontal="left" vertical="center" wrapText="1" indent="1"/>
    </xf>
    <xf numFmtId="0" fontId="88" fillId="0" borderId="44" xfId="0" applyFont="1" applyBorder="1" applyAlignment="1">
      <alignment horizontal="left" vertical="center" wrapText="1" indent="1"/>
    </xf>
    <xf numFmtId="0" fontId="88" fillId="0" borderId="45" xfId="0" applyFont="1" applyBorder="1" applyAlignment="1">
      <alignment horizontal="left" vertical="center" wrapText="1" indent="1"/>
    </xf>
    <xf numFmtId="0" fontId="88" fillId="0" borderId="46" xfId="0" applyFont="1" applyBorder="1" applyAlignment="1">
      <alignment horizontal="left" vertical="center" wrapText="1" indent="1"/>
    </xf>
    <xf numFmtId="0" fontId="116" fillId="0" borderId="27" xfId="0" applyFont="1" applyBorder="1" applyAlignment="1">
      <alignment horizontal="left" vertical="center" wrapText="1" indent="2"/>
    </xf>
    <xf numFmtId="0" fontId="91" fillId="0" borderId="12" xfId="0" applyFont="1" applyBorder="1" applyAlignment="1">
      <alignment horizontal="center" vertical="center" wrapText="1"/>
    </xf>
    <xf numFmtId="0" fontId="91" fillId="0" borderId="13" xfId="0" applyFont="1" applyBorder="1" applyAlignment="1">
      <alignment horizontal="center" vertical="center" wrapText="1"/>
    </xf>
    <xf numFmtId="0" fontId="91" fillId="0" borderId="16" xfId="0" applyFont="1" applyBorder="1" applyAlignment="1">
      <alignment horizontal="center" vertical="center" wrapText="1"/>
    </xf>
    <xf numFmtId="0" fontId="91" fillId="0" borderId="17" xfId="0" applyFont="1" applyBorder="1" applyAlignment="1">
      <alignment horizontal="center" vertical="center" wrapText="1"/>
    </xf>
    <xf numFmtId="0" fontId="91" fillId="0" borderId="18" xfId="0" applyFont="1" applyBorder="1" applyAlignment="1">
      <alignment horizontal="center" vertical="center" wrapText="1"/>
    </xf>
  </cellXfs>
  <cellStyles count="5">
    <cellStyle name="Collegamento ipertestuale" xfId="2" builtinId="8"/>
    <cellStyle name="Normale" xfId="0" builtinId="0"/>
    <cellStyle name="Normale 2" xfId="4"/>
    <cellStyle name="Percentuale" xfId="3" builtinId="5"/>
    <cellStyle name="Valuta" xfId="1" builtinId="4"/>
  </cellStyles>
  <dxfs count="50"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00FF"/>
      <color rgb="FF00467A"/>
      <color rgb="FFE4DFEC"/>
      <color rgb="FFEBF1DE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18</xdr:row>
      <xdr:rowOff>476249</xdr:rowOff>
    </xdr:from>
    <xdr:to>
      <xdr:col>19</xdr:col>
      <xdr:colOff>0</xdr:colOff>
      <xdr:row>26</xdr:row>
      <xdr:rowOff>211666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1899900" y="5229224"/>
          <a:ext cx="5464175" cy="30024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Per le funzioni di cui alla Tab. A, svolte all'aperto, sono dovuti:</a:t>
          </a:r>
        </a:p>
        <a:p>
          <a:endParaRPr lang="it-IT" sz="1000"/>
        </a:p>
        <a:p>
          <a:r>
            <a:rPr lang="it-IT" sz="1000"/>
            <a:t>- Oneri U1 e U2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</a:t>
          </a:r>
          <a:r>
            <a:rPr lang="it-IT" sz="1000" i="1" baseline="0"/>
            <a:t> "AI" potrebbe essere l'area del piazzale di stoccaggio delle materie per un'attività produttiva, oppure la superficie di un campo da tennis/paddle, oppure l'area esterna di un pubblico eservizio utilizzata per svolgere l'attività di somministrazione.</a:t>
          </a:r>
        </a:p>
        <a:p>
          <a:endParaRPr lang="it-IT" sz="1000" i="1"/>
        </a:p>
        <a:p>
          <a:r>
            <a:rPr lang="it-IT" sz="1000" b="1"/>
            <a:t>Per le funzioni di cui alla Tab. B, svolte all'aperto, sono dovuti:</a:t>
          </a:r>
        </a:p>
        <a:p>
          <a:endParaRPr lang="it-IT" sz="1000" b="1"/>
        </a:p>
        <a:p>
          <a:r>
            <a:rPr lang="it-IT" sz="1000"/>
            <a:t>- Oneri U1 e U2 da calcolarsi sul parametro "AI" (area d'insediamento all'aperto)</a:t>
          </a:r>
        </a:p>
        <a:p>
          <a:r>
            <a:rPr lang="it-IT" sz="1000"/>
            <a:t>- Contributi D ed S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 "AI" potrebbe essere l'area del piazzale di stoccagio delle materie per un'attività produttiva.</a:t>
          </a:r>
        </a:p>
        <a:p>
          <a:endParaRPr lang="it-IT" sz="800"/>
        </a:p>
        <a:p>
          <a:endParaRPr lang="it-IT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ai sensi della DCC 69/2019, </a:t>
          </a:r>
          <a:r>
            <a:rPr lang="it-IT" sz="10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 per gli impianti sportivi svolti all'aperto (es: campi tennis/paddel)</a:t>
          </a: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l'area d'insediamento all'aperto "AI" di progetto viene ridotta del 50%.</a:t>
          </a:r>
          <a:endParaRPr lang="it-IT" sz="1000">
            <a:effectLst/>
          </a:endParaRPr>
        </a:p>
        <a:p>
          <a:endParaRPr lang="it-IT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66675</xdr:rowOff>
    </xdr:from>
    <xdr:to>
      <xdr:col>16</xdr:col>
      <xdr:colOff>590550</xdr:colOff>
      <xdr:row>37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180975" y="2371725"/>
          <a:ext cx="8420100" cy="378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(tutte le superfici sono definite dalle DTU Regionali)</a:t>
          </a: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sulla quale applicare gli oneri è: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Utile (SU)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residenziale Uf, direzionale Ud, artigianato di servizio alla casa e alla persona Uge, commerciale al dettaglio Ug-Ue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Lorda (SL)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Uc, commercio all'ingrosso Ucd, turistico ricettiva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Uh, rurale Ua-Ub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Volume utile/6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e commerciale, limitatamente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depositi in strutture a maggior sviluppo verticali ovvero aventi intradosso &gt; 6 m (es. silos, magazzini verticali, ecc.).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Area dell'insediamento all'aperto (AI)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funzioni svolte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all'aperto. Per le tariffe da utilizzare consultare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foglio 2 "Tabella parametrica".</a:t>
          </a: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tariffa da applicare è riportata nella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Tabella Parametrica di U1/U2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varia in funzione di: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Funzione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destinazione d'uso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individuare tra quelle di cui al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Capo 3 del RUE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(Es: Ufa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abitazioni, Ugb per bar/ristoranti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Localizzazione rispetto al Territorio Urbanizzato T.U.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consultabile sul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interattivo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alla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PSC 2030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(T.U. = aree di colore rosso).</a:t>
          </a:r>
          <a:endParaRPr lang="it-IT" sz="800">
            <a:effectLst/>
          </a:endParaRP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Tipologia d'intervento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nuova costruzione,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ristrutturazione edilizia con o senza aumento di carico urbanistico.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Scomputo non applicabile ai titoli in sanatoria (vedasi parere Regione ER Prot. 463126 del 24 giugno 2020).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%V (a+b+c+d) ≤ 70%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variabile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casistiche previste nella Delibera di Recepimento della DAL 186/2018,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cumulabili con la somma delle singole percentuali fino ad un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massimo del 70% (quindi, al massimo, moltiplicare x 0,3)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Se non si ha diritto a nessuno scomputo variabile inserire il valore 1.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Residenze per anziani, strutture socio-assistenziali-sanitarie ed educative: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Edilizia residenziale sociale (ERS) e edilizia convenzionata: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20%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Tettoie destinate a depositi di materie prime, semilavorati e prodotti finiti connesse ad attività produttive: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30%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Incentivi energetici come da REN Regolamento Energetico Allegato C1 al RUE vigente, con la precisazione che per gli edifici esistenti è possibile scomputare al massimo il 50% di U2, quindi: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Nuovi edifici (inclusa demolizione e ricostruzione):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15% o del 30%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 raggiungimento dei requisiti prestazionali di cui all'art. 5.1 del Regolamento energetico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Edifici esistenti: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raggiungimento dei requisiti prestazionali di cui all'art. 5.2 del Regolamento Energetico</a:t>
          </a:r>
          <a:endParaRPr lang="it-IT" sz="800">
            <a:effectLst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51</xdr:row>
      <xdr:rowOff>9526</xdr:rowOff>
    </xdr:from>
    <xdr:to>
      <xdr:col>16</xdr:col>
      <xdr:colOff>590550</xdr:colOff>
      <xdr:row>74</xdr:row>
      <xdr:rowOff>123827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180975" y="8753476"/>
          <a:ext cx="8420100" cy="3914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 ed S sono dovuti esclusivamente per la funzione produttiva e rurale (quest'ultima svolta da non avente titolo, no IAP).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dovuto D è dovuto anche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S.</a:t>
          </a:r>
          <a:endParaRPr lang="it-IT" sz="800">
            <a:solidFill>
              <a:srgbClr val="FF0000"/>
            </a:solidFill>
            <a:effectLst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SL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Lorda (definita dalle DTU Regionali) oggetto di nuova costruzione, ampliamento o di ristrutturazione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 uso produttivo e/o rurale svolto da non avente titolo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Td, Ts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Tariffe base di disinquinamento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di sistemazione.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attività Produttive/Rurali svolte all'aperto soggette a oneri sul parametro "AI" (Area d'insediamento all'aperto) sono dovuti i Contributi D-S con le relative tariffe.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Kd, Ks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è il coefficiente di disinquinamento connesso al tipo di attività,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attività industriali comprese nell'elenco di cui alla Parte I, lettera c, del D.M. 5 settembre 1994 "Elenco industrie insalubri di cui all'art. 126 del Testo Unico delle Leggi Sanitarie"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1,0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tutte le altre attività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è il coefficiente di impatto connesso al tipo di intervento,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tutti gli interventi che prevedono un incremento delle superfici impermeabilizzate del suolo rispetto allo stato di fatto o modifiche planovolumetriche del terreno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0,5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gli interventi che prevedono quote di desigillazione e riduzione della superficie impermeabile del suolo rispetto allo stato di fatto superiore al 20% della Superficie Fondiaria SF.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nei restanti casi</a:t>
          </a: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previsto solo per interventi per interventi di ristrutturazione urbanistica ed edilizia, addensamento o sostituzione urbana, e per interventi di recupero o riuso di immobili dismessi o in via di dismissione da eseguirsi su edifici localizzati all'interno del Territorio Urbanizzato T.U. 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(Territorio urbanizzato: aree di colore rosso</a:t>
          </a:r>
          <a:r>
            <a:rPr lang="it-IT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).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applicabile, lo scomputo del 35% interessa tutto il Contributo di Costruzione (U1-U2-D-S-QCC) ad eccezione del Contributo Straordinario.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La riduzione non si applica ai titoli in sanatoria (vedasi parere Regione ER Prot. 463126 del 24 giugno 2020).</a:t>
          </a:r>
        </a:p>
        <a:p>
          <a:pPr eaLnBrk="1" fontAlgn="auto" latinLnBrk="0" hangingPunct="1"/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it-IT" sz="800">
            <a:effectLst/>
          </a:endParaRPr>
        </a:p>
      </xdr:txBody>
    </xdr:sp>
    <xdr:clientData/>
  </xdr:twoCellAnchor>
  <xdr:twoCellAnchor>
    <xdr:from>
      <xdr:col>1</xdr:col>
      <xdr:colOff>47625</xdr:colOff>
      <xdr:row>90</xdr:row>
      <xdr:rowOff>118241</xdr:rowOff>
    </xdr:from>
    <xdr:to>
      <xdr:col>16</xdr:col>
      <xdr:colOff>561975</xdr:colOff>
      <xdr:row>111</xdr:row>
      <xdr:rowOff>123826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198711" y="15745810"/>
          <a:ext cx="8377402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L'unità di superficie per la determinazione del Costo di Costruzione (QCC) è la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Complessiva (SC=SU+0,6xSA)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cui alle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DTU "definizioni tecniche uniformi"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allegate alla DGR 922/2017.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convenzionale A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 essere determinato a partire dai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OMI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disponibili sul sito dell'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Agenzia delle Entrate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 l'ausilio della piattaforma telematica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"Geopoi"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RESIDENZIALE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QCC(B)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 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 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residenziale</a:t>
          </a:r>
        </a:p>
        <a:p>
          <a:endParaRPr lang="it-IT" sz="800">
            <a:effectLst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NON RESIDENZIALE (escluso produttivo e rurale)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QCC(D)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residenziale</a:t>
          </a:r>
          <a:endParaRPr lang="it-IT" sz="800" b="1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QCC(C.ter)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endParaRPr lang="it-IT" sz="800" b="1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è dovuto:</a:t>
          </a:r>
          <a:endParaRPr lang="it-IT" sz="800">
            <a:effectLst/>
          </a:endParaRP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interventi di nuova costruzione e ristrutturazione (il cambio d'uso con opere equivale a ristrutturazione).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cambi d'uso senza opere con aumento di CU carico urbanistico. In questi casi il costo convenzionale A è dato dalla differenza della media valori OMI tra funzione di progetto e funzione dello stato di fatto, moltiplicata x 0,475. Le schede (fogli di calcolo) da utilizzare per la determinazione del contributo nel caso di cambio d'uso senza opere sono: QCC(A.bis), QCC(C.bis), QCC(C.ter).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Per interventi di restauro scientifico (RS), restauro e risanamento conservativo (RRC), che prevedano il cambio d'uso con aumento del carico urbanistico CU. In tali casi si applica la QCC dovuta per i cambi d'uso senza opere di cui al punto precedente.</a:t>
          </a:r>
          <a:endParaRPr lang="it-IT" sz="800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non è dovuto: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la funzione produttiva e rurale, dove trovano applicazione i contributi D e S.</a:t>
          </a:r>
          <a:endParaRPr lang="it-IT" sz="800">
            <a:effectLst/>
          </a:endParaRP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restauro scientifico (RS), restauro e risanamento conservativo (RRC) e manutenzione straordinaria (MS), solo nel caso in cui l'aumento di CU derivi da un aumento della superficie calpestabile.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interventi di Edilizia Residenziale Sociale (ERS) compresa l'edilizia convenzionata, anche su edifici esistenti (convenzione valida solo per la funzione residenziale).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effectLst/>
          </a:endParaRPr>
        </a:p>
        <a:p>
          <a:pPr algn="l"/>
          <a:endParaRPr lang="it-IT" sz="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43962</xdr:colOff>
      <xdr:row>126</xdr:row>
      <xdr:rowOff>137809</xdr:rowOff>
    </xdr:from>
    <xdr:to>
      <xdr:col>16</xdr:col>
      <xdr:colOff>578827</xdr:colOff>
      <xdr:row>149</xdr:row>
      <xdr:rowOff>114301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/>
      </xdr:nvSpPr>
      <xdr:spPr>
        <a:xfrm>
          <a:off x="197983" y="21725107"/>
          <a:ext cx="8389950" cy="3583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eaLnBrk="1" fontAlgn="auto" latinLnBrk="0" hangingPunct="1"/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della monetizzazione parcheggio è la SU (anzichè la SL),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vedasi art. 3.2.22 comma 5 RUE vigente.</a:t>
          </a:r>
          <a:endParaRPr lang="it-IT" sz="800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 questi casi, nella cella corrispondente alla superficie, inserire comunque la SL (che per il Centro Storico, riguardo alla monetizzazione, coincide con la SU).</a:t>
          </a:r>
          <a:endParaRPr lang="it-IT" sz="800">
            <a:solidFill>
              <a:srgbClr val="FF0000"/>
            </a:solidFill>
            <a:effectLst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del Comune di Parma (Sezione Oneri).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dotazioni territoriali riguarda solo il </a:t>
          </a:r>
          <a:r>
            <a:rPr lang="it-IT" sz="800" i="1">
              <a:effectLst/>
            </a:rPr>
            <a:t>valore dell'area non ceduta e pertanto non comporta alcuno scomputo sul contributo di costruzione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La realizzazione e cessione delle dotazioni territoriali comporta lo scomputo del contributo di costruzione previsto per la tipologia di opere realizzate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La quota sul Costo di Costruzione (QCC) è sempre esclusa dallo scomputo.</a:t>
          </a:r>
        </a:p>
        <a:p>
          <a:endParaRPr lang="it-IT" sz="800" i="1">
            <a:effectLst/>
          </a:endParaRPr>
        </a:p>
      </xdr:txBody>
    </xdr:sp>
    <xdr:clientData/>
  </xdr:twoCellAnchor>
  <xdr:twoCellAnchor>
    <xdr:from>
      <xdr:col>1</xdr:col>
      <xdr:colOff>41413</xdr:colOff>
      <xdr:row>200</xdr:row>
      <xdr:rowOff>71439</xdr:rowOff>
    </xdr:from>
    <xdr:to>
      <xdr:col>7</xdr:col>
      <xdr:colOff>646044</xdr:colOff>
      <xdr:row>210</xdr:row>
      <xdr:rowOff>115956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195278" y="33526170"/>
          <a:ext cx="2971228" cy="17297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AUMENTO DI VALORE VENALE x 2	OBLAZIONE Lett.c)</a:t>
          </a:r>
        </a:p>
        <a:p>
          <a:endParaRPr lang="it-IT" sz="800" b="1" i="1" baseline="0">
            <a:effectLst/>
          </a:endParaRPr>
        </a:p>
        <a:p>
          <a:r>
            <a:rPr lang="it-IT" sz="800" b="0" i="1" baseline="0">
              <a:effectLst/>
            </a:rPr>
            <a:t>da € 0,00 a € 4.000		</a:t>
          </a:r>
          <a:r>
            <a:rPr lang="it-IT" sz="800" b="1" i="1" baseline="0">
              <a:effectLst/>
            </a:rPr>
            <a:t>€ 1.032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€ 4.001 a € 6.000	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€ 2.194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€ 6.001 a € 8.000	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€ 3.356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€ 8.001 a € 11.000	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€ 4.518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€ 11.001 a € 14.000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€ 5.680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€ 14.001 a € 17.000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€ 6.842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€ 17.001 a € 20.000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€ 8.004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€ 20.001 a € 24.000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€ 9.166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oltre € 24.000	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€ 10.328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rgbClr val="FF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</a:rPr>
            <a:t>importi oblazione dimezzati nel caso di doppia</a:t>
          </a:r>
          <a:r>
            <a:rPr lang="it-IT" sz="800" b="1" baseline="0">
              <a:solidFill>
                <a:srgbClr val="FF0000"/>
              </a:solidFill>
              <a:effectLst/>
            </a:rPr>
            <a:t> conformità</a:t>
          </a:r>
          <a:endParaRPr lang="it-IT" sz="800" b="1">
            <a:solidFill>
              <a:srgbClr val="FF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 i="1" baseline="0">
            <a:effectLst/>
          </a:endParaRPr>
        </a:p>
      </xdr:txBody>
    </xdr:sp>
    <xdr:clientData/>
  </xdr:twoCellAnchor>
  <xdr:twoCellAnchor>
    <xdr:from>
      <xdr:col>7</xdr:col>
      <xdr:colOff>737153</xdr:colOff>
      <xdr:row>200</xdr:row>
      <xdr:rowOff>76200</xdr:rowOff>
    </xdr:from>
    <xdr:to>
      <xdr:col>16</xdr:col>
      <xdr:colOff>571500</xdr:colOff>
      <xdr:row>210</xdr:row>
      <xdr:rowOff>115956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48745" y="29192621"/>
          <a:ext cx="5323755" cy="16940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 importi relativi a Oblazione e Monetizzazione devono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versati al momento della presentazione della SCIA in sanatoria o entro (e non oltre) 30 giorni dalla data di rilascio del Permesso di Costruire in sanatoria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in alternativa è ammessa la seguente rateizzazione, solo per importi superiori a € 5.000:</a:t>
          </a:r>
        </a:p>
        <a:p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 (50%)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 momento della presentazione della SCIA in sanatoria o entro 30 gg dal rilascio del Permesso di Costruire in sanatoria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entro 9 mesi dal momento della presentazione della SCIA 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entro 18 mesi dal momento della presentazione della SCIA o dal rilascio del Permesso di Costruire</a:t>
          </a:r>
          <a:endParaRPr lang="it-IT" sz="800">
            <a:effectLst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</a:t>
          </a:r>
          <a:endParaRPr lang="it-IT" sz="800">
            <a:effectLst/>
          </a:endParaRPr>
        </a:p>
      </xdr:txBody>
    </xdr:sp>
    <xdr:clientData/>
  </xdr:twoCellAnchor>
  <xdr:twoCellAnchor>
    <xdr:from>
      <xdr:col>29</xdr:col>
      <xdr:colOff>47625</xdr:colOff>
      <xdr:row>133</xdr:row>
      <xdr:rowOff>0</xdr:rowOff>
    </xdr:from>
    <xdr:to>
      <xdr:col>32</xdr:col>
      <xdr:colOff>571500</xdr:colOff>
      <xdr:row>149</xdr:row>
      <xdr:rowOff>131884</xdr:rowOff>
    </xdr:to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/>
      </xdr:nvSpPr>
      <xdr:spPr>
        <a:xfrm>
          <a:off x="14325600" y="22269450"/>
          <a:ext cx="2733675" cy="2817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Normalmente la monetizzazione del parcheggio privato non è ammessae, quindi, i parcheggi devono essere reperiti fisicamente.</a:t>
          </a:r>
          <a:r>
            <a:rPr lang="it-IT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abitativi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Interventi Edilizi.</a:t>
          </a:r>
          <a:endParaRPr lang="it-IT" sz="900">
            <a:solidFill>
              <a:srgbClr val="FF0000"/>
            </a:solidFill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 standard 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parcheggio privato da reperire o monetizzare, in funzione della destinazione d'uso dell'immobile, è consultabile al Capo 3 " Usi del suolo e Standard" del RUE vigente.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 per uso abitativo Ufa lo standard è pari a 0,3.</a:t>
          </a:r>
          <a:endParaRPr lang="it-IT" sz="900" b="1"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 la tariffa, consultare le determine sul sito del Comune di Parma (Sezione Oneri). </a:t>
          </a:r>
          <a:r>
            <a:rPr lang="it-IT" sz="9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 l'anno 2026 la tariffa è pari a 148,31 €/mq.</a:t>
          </a:r>
          <a:endParaRPr lang="it-IT" sz="7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77305</xdr:colOff>
      <xdr:row>279</xdr:row>
      <xdr:rowOff>19462</xdr:rowOff>
    </xdr:from>
    <xdr:to>
      <xdr:col>16</xdr:col>
      <xdr:colOff>530087</xdr:colOff>
      <xdr:row>286</xdr:row>
      <xdr:rowOff>64367</xdr:rowOff>
    </xdr:to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 txBox="1"/>
      </xdr:nvSpPr>
      <xdr:spPr>
        <a:xfrm>
          <a:off x="237435" y="47158549"/>
          <a:ext cx="8685695" cy="1259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al momento della presentazione della SCIA in sanatoria o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al momento della presentazione della SCIA o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11</xdr:col>
      <xdr:colOff>24849</xdr:colOff>
      <xdr:row>253</xdr:row>
      <xdr:rowOff>93966</xdr:rowOff>
    </xdr:from>
    <xdr:to>
      <xdr:col>16</xdr:col>
      <xdr:colOff>538371</xdr:colOff>
      <xdr:row>275</xdr:row>
      <xdr:rowOff>16566</xdr:rowOff>
    </xdr:to>
    <xdr:sp macro="" textlink="">
      <xdr:nvSpPr>
        <xdr:cNvPr id="32" name="CasellaDiTesto 31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 txBox="1"/>
      </xdr:nvSpPr>
      <xdr:spPr>
        <a:xfrm>
          <a:off x="4730199" y="38498766"/>
          <a:ext cx="3818697" cy="362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Civile;</a:t>
          </a:r>
          <a:endParaRPr lang="it-IT" sz="800">
            <a:effectLst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11</xdr:col>
      <xdr:colOff>273051</xdr:colOff>
      <xdr:row>292</xdr:row>
      <xdr:rowOff>50800</xdr:rowOff>
    </xdr:from>
    <xdr:to>
      <xdr:col>16</xdr:col>
      <xdr:colOff>546609</xdr:colOff>
      <xdr:row>303</xdr:row>
      <xdr:rowOff>57149</xdr:rowOff>
    </xdr:to>
    <xdr:sp macro="" textlink="">
      <xdr:nvSpPr>
        <xdr:cNvPr id="34" name="CasellaDiTesto 33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 txBox="1"/>
      </xdr:nvSpPr>
      <xdr:spPr>
        <a:xfrm>
          <a:off x="5207001" y="49333150"/>
          <a:ext cx="3740658" cy="197484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INCREMENTO VALORE VENALE	OBLAZIONE Lett. c)</a:t>
          </a:r>
        </a:p>
        <a:p>
          <a:endParaRPr lang="it-IT" sz="1000">
            <a:solidFill>
              <a:sysClr val="windowText" lastClr="000000"/>
            </a:solidFill>
            <a:effectLst/>
          </a:endParaRPr>
        </a:p>
        <a:p>
          <a:r>
            <a:rPr lang="it-IT" sz="1000" b="1" i="1">
              <a:solidFill>
                <a:sysClr val="windowText" lastClr="000000"/>
              </a:solidFill>
              <a:effectLst/>
            </a:rPr>
            <a:t>aumento valore 		doppia conf.	gurisprudenz</a:t>
          </a:r>
          <a:r>
            <a:rPr lang="it-IT" sz="1000" i="1">
              <a:solidFill>
                <a:sysClr val="windowText" lastClr="000000"/>
              </a:solidFill>
              <a:effectLst/>
            </a:rPr>
            <a:t>.</a:t>
          </a:r>
        </a:p>
        <a:p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€ 0,00 a € 4.000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€ 516	€ 1.032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€ 4.001 a € 6.000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€ 1.097	€ 2.194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€ 6.001 a € 8.000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€ 1.687	€ 3.356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€ 8.001 a € 11.000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€ 2.259	€ 4.518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€ 11.001 a € 14.000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€ 2.840	€ 5.680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€ 14.001 a € 17.000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€ 3.421	€ 6.842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€ 17.001 a € 20.000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€ 4.002	€ 8.004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€ 20.001 a € 24.000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€ 4.583	€ 9.166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oltre € 24.000	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€ 5.164	€ 10.328</a:t>
          </a:r>
          <a:endParaRPr lang="it-IT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41413</xdr:colOff>
      <xdr:row>241</xdr:row>
      <xdr:rowOff>80202</xdr:rowOff>
    </xdr:from>
    <xdr:to>
      <xdr:col>16</xdr:col>
      <xdr:colOff>576278</xdr:colOff>
      <xdr:row>248</xdr:row>
      <xdr:rowOff>125107</xdr:rowOff>
    </xdr:to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 txBox="1"/>
      </xdr:nvSpPr>
      <xdr:spPr>
        <a:xfrm>
          <a:off x="201543" y="40825115"/>
          <a:ext cx="8767778" cy="1259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al momento della presentazione della SCIA in sanatoria o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al momento della presentazione della SCIA o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11</xdr:col>
      <xdr:colOff>24849</xdr:colOff>
      <xdr:row>215</xdr:row>
      <xdr:rowOff>93966</xdr:rowOff>
    </xdr:from>
    <xdr:to>
      <xdr:col>16</xdr:col>
      <xdr:colOff>538371</xdr:colOff>
      <xdr:row>237</xdr:row>
      <xdr:rowOff>16566</xdr:rowOff>
    </xdr:to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 txBox="1"/>
      </xdr:nvSpPr>
      <xdr:spPr>
        <a:xfrm>
          <a:off x="4730199" y="38498766"/>
          <a:ext cx="3818697" cy="362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Civile;</a:t>
          </a:r>
          <a:endParaRPr lang="it-IT" sz="800">
            <a:effectLst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</xdr:col>
      <xdr:colOff>47625</xdr:colOff>
      <xdr:row>162</xdr:row>
      <xdr:rowOff>104775</xdr:rowOff>
    </xdr:from>
    <xdr:to>
      <xdr:col>16</xdr:col>
      <xdr:colOff>582490</xdr:colOff>
      <xdr:row>173</xdr:row>
      <xdr:rowOff>123825</xdr:rowOff>
    </xdr:to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/>
      </xdr:nvSpPr>
      <xdr:spPr>
        <a:xfrm>
          <a:off x="200025" y="27212925"/>
          <a:ext cx="839299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1</xdr:colOff>
      <xdr:row>191</xdr:row>
      <xdr:rowOff>44450</xdr:rowOff>
    </xdr:from>
    <xdr:to>
      <xdr:col>32</xdr:col>
      <xdr:colOff>590550</xdr:colOff>
      <xdr:row>197</xdr:row>
      <xdr:rowOff>139700</xdr:rowOff>
    </xdr:to>
    <xdr:sp macro="" textlink="">
      <xdr:nvSpPr>
        <xdr:cNvPr id="41" name="CasellaDiTesto 40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SpPr txBox="1"/>
      </xdr:nvSpPr>
      <xdr:spPr>
        <a:xfrm>
          <a:off x="15081251" y="32245300"/>
          <a:ext cx="2908299" cy="114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P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er Oblazione lett. c) occorre a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llegare </a:t>
          </a:r>
          <a:r>
            <a:rPr lang="it-IT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perizia di stima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dell’immobile ante e post intervento,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redatta con Valori OMI attualizzati al momento di presentazione della Sanatoria, evidenziando </a:t>
          </a:r>
          <a:r>
            <a:rPr lang="it-IT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DOPPIO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dell'aumento di valore venale dell'immobile.</a:t>
          </a:r>
          <a:endParaRPr lang="it-IT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276082</xdr:colOff>
      <xdr:row>300</xdr:row>
      <xdr:rowOff>93871</xdr:rowOff>
    </xdr:from>
    <xdr:to>
      <xdr:col>11</xdr:col>
      <xdr:colOff>121478</xdr:colOff>
      <xdr:row>310</xdr:row>
      <xdr:rowOff>77305</xdr:rowOff>
    </xdr:to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SpPr txBox="1"/>
      </xdr:nvSpPr>
      <xdr:spPr>
        <a:xfrm>
          <a:off x="436212" y="50921480"/>
          <a:ext cx="4616179" cy="1706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  <xdr:twoCellAnchor>
    <xdr:from>
      <xdr:col>1</xdr:col>
      <xdr:colOff>270566</xdr:colOff>
      <xdr:row>311</xdr:row>
      <xdr:rowOff>127000</xdr:rowOff>
    </xdr:from>
    <xdr:to>
      <xdr:col>16</xdr:col>
      <xdr:colOff>568740</xdr:colOff>
      <xdr:row>319</xdr:row>
      <xdr:rowOff>33212</xdr:rowOff>
    </xdr:to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SpPr txBox="1"/>
      </xdr:nvSpPr>
      <xdr:spPr>
        <a:xfrm>
          <a:off x="430696" y="52837522"/>
          <a:ext cx="8531087" cy="1270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</xdr:col>
      <xdr:colOff>91656</xdr:colOff>
      <xdr:row>267</xdr:row>
      <xdr:rowOff>58533</xdr:rowOff>
    </xdr:from>
    <xdr:to>
      <xdr:col>10</xdr:col>
      <xdr:colOff>196574</xdr:colOff>
      <xdr:row>277</xdr:row>
      <xdr:rowOff>119271</xdr:rowOff>
    </xdr:to>
    <xdr:sp macro="" textlink="">
      <xdr:nvSpPr>
        <xdr:cNvPr id="44" name="CasellaDiTesto 43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SpPr txBox="1"/>
      </xdr:nvSpPr>
      <xdr:spPr>
        <a:xfrm>
          <a:off x="251786" y="45231881"/>
          <a:ext cx="4616179" cy="1706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  <xdr:twoCellAnchor>
    <xdr:from>
      <xdr:col>1</xdr:col>
      <xdr:colOff>61837</xdr:colOff>
      <xdr:row>229</xdr:row>
      <xdr:rowOff>50802</xdr:rowOff>
    </xdr:from>
    <xdr:to>
      <xdr:col>10</xdr:col>
      <xdr:colOff>166755</xdr:colOff>
      <xdr:row>239</xdr:row>
      <xdr:rowOff>89453</xdr:rowOff>
    </xdr:to>
    <xdr:sp macro="" textlink="">
      <xdr:nvSpPr>
        <xdr:cNvPr id="45" name="CasellaDiTesto 44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SpPr txBox="1"/>
      </xdr:nvSpPr>
      <xdr:spPr>
        <a:xfrm>
          <a:off x="221967" y="38807889"/>
          <a:ext cx="4616179" cy="1706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67</xdr:row>
      <xdr:rowOff>161925</xdr:rowOff>
    </xdr:from>
    <xdr:to>
      <xdr:col>4</xdr:col>
      <xdr:colOff>438150</xdr:colOff>
      <xdr:row>67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5305425" y="17814925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33</xdr:row>
      <xdr:rowOff>161925</xdr:rowOff>
    </xdr:from>
    <xdr:to>
      <xdr:col>5</xdr:col>
      <xdr:colOff>76200</xdr:colOff>
      <xdr:row>33</xdr:row>
      <xdr:rowOff>161925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4137025" y="9026525"/>
          <a:ext cx="43497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428625</xdr:colOff>
      <xdr:row>21</xdr:row>
      <xdr:rowOff>285750</xdr:rowOff>
    </xdr:from>
    <xdr:to>
      <xdr:col>14</xdr:col>
      <xdr:colOff>230187</xdr:colOff>
      <xdr:row>23</xdr:row>
      <xdr:rowOff>166688</xdr:rowOff>
    </xdr:to>
    <xdr:sp macro="" textlink="">
      <xdr:nvSpPr>
        <xdr:cNvPr id="3" name="Freccia a destra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 bwMode="auto">
        <a:xfrm>
          <a:off x="8277225" y="5492750"/>
          <a:ext cx="1643062" cy="49053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200025</xdr:colOff>
      <xdr:row>35</xdr:row>
      <xdr:rowOff>171450</xdr:rowOff>
    </xdr:from>
    <xdr:to>
      <xdr:col>2</xdr:col>
      <xdr:colOff>847725</xdr:colOff>
      <xdr:row>35</xdr:row>
      <xdr:rowOff>180975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CxnSpPr/>
      </xdr:nvCxnSpPr>
      <xdr:spPr>
        <a:xfrm>
          <a:off x="2238375" y="97250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6</xdr:row>
      <xdr:rowOff>285750</xdr:rowOff>
    </xdr:from>
    <xdr:to>
      <xdr:col>12</xdr:col>
      <xdr:colOff>349249</xdr:colOff>
      <xdr:row>8</xdr:row>
      <xdr:rowOff>166688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 bwMode="auto">
        <a:xfrm>
          <a:off x="7331074" y="1933575"/>
          <a:ext cx="2114550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190500</xdr:colOff>
      <xdr:row>16</xdr:row>
      <xdr:rowOff>171450</xdr:rowOff>
    </xdr:from>
    <xdr:to>
      <xdr:col>2</xdr:col>
      <xdr:colOff>838200</xdr:colOff>
      <xdr:row>16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CxnSpPr/>
      </xdr:nvCxnSpPr>
      <xdr:spPr>
        <a:xfrm>
          <a:off x="2305050" y="49625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15319865" y="591649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1628824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298174</xdr:rowOff>
    </xdr:from>
    <xdr:to>
      <xdr:col>14</xdr:col>
      <xdr:colOff>405848</xdr:colOff>
      <xdr:row>23</xdr:row>
      <xdr:rowOff>179113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 bwMode="auto">
        <a:xfrm>
          <a:off x="7191375" y="5327374"/>
          <a:ext cx="1758398" cy="509589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190500</xdr:colOff>
      <xdr:row>30</xdr:row>
      <xdr:rowOff>171450</xdr:rowOff>
    </xdr:from>
    <xdr:to>
      <xdr:col>2</xdr:col>
      <xdr:colOff>838200</xdr:colOff>
      <xdr:row>30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CxnSpPr/>
      </xdr:nvCxnSpPr>
      <xdr:spPr>
        <a:xfrm>
          <a:off x="2257425" y="802957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14834090" y="929786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95</xdr:row>
      <xdr:rowOff>161925</xdr:rowOff>
    </xdr:from>
    <xdr:to>
      <xdr:col>4</xdr:col>
      <xdr:colOff>552450</xdr:colOff>
      <xdr:row>95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CxnSpPr>
          <a:cxnSpLocks noChangeShapeType="1"/>
        </xdr:cNvCxnSpPr>
      </xdr:nvCxnSpPr>
      <xdr:spPr bwMode="auto">
        <a:xfrm>
          <a:off x="4829175" y="25812750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87709</xdr:colOff>
      <xdr:row>13</xdr:row>
      <xdr:rowOff>30041</xdr:rowOff>
    </xdr:from>
    <xdr:to>
      <xdr:col>21</xdr:col>
      <xdr:colOff>783034</xdr:colOff>
      <xdr:row>13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23</xdr:col>
      <xdr:colOff>588058</xdr:colOff>
      <xdr:row>12</xdr:row>
      <xdr:rowOff>129887</xdr:rowOff>
    </xdr:from>
    <xdr:to>
      <xdr:col>32</xdr:col>
      <xdr:colOff>181840</xdr:colOff>
      <xdr:row>14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23</xdr:col>
      <xdr:colOff>123235</xdr:colOff>
      <xdr:row>13</xdr:row>
      <xdr:rowOff>30525</xdr:rowOff>
    </xdr:from>
    <xdr:to>
      <xdr:col>23</xdr:col>
      <xdr:colOff>503832</xdr:colOff>
      <xdr:row>13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21</xdr:col>
      <xdr:colOff>87709</xdr:colOff>
      <xdr:row>13</xdr:row>
      <xdr:rowOff>30041</xdr:rowOff>
    </xdr:from>
    <xdr:to>
      <xdr:col>21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52</xdr:row>
      <xdr:rowOff>180975</xdr:rowOff>
    </xdr:from>
    <xdr:to>
      <xdr:col>2</xdr:col>
      <xdr:colOff>838200</xdr:colOff>
      <xdr:row>52</xdr:row>
      <xdr:rowOff>190500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CxnSpPr/>
      </xdr:nvCxnSpPr>
      <xdr:spPr>
        <a:xfrm>
          <a:off x="2305050" y="157353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87709</xdr:colOff>
      <xdr:row>33</xdr:row>
      <xdr:rowOff>30041</xdr:rowOff>
    </xdr:from>
    <xdr:to>
      <xdr:col>22</xdr:col>
      <xdr:colOff>783034</xdr:colOff>
      <xdr:row>33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32</xdr:row>
      <xdr:rowOff>129887</xdr:rowOff>
    </xdr:from>
    <xdr:to>
      <xdr:col>33</xdr:col>
      <xdr:colOff>181840</xdr:colOff>
      <xdr:row>34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123235</xdr:colOff>
      <xdr:row>33</xdr:row>
      <xdr:rowOff>30525</xdr:rowOff>
    </xdr:from>
    <xdr:to>
      <xdr:col>24</xdr:col>
      <xdr:colOff>503832</xdr:colOff>
      <xdr:row>33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33</xdr:row>
      <xdr:rowOff>30041</xdr:rowOff>
    </xdr:from>
    <xdr:to>
      <xdr:col>22</xdr:col>
      <xdr:colOff>783034</xdr:colOff>
      <xdr:row>33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52</xdr:row>
      <xdr:rowOff>171450</xdr:rowOff>
    </xdr:from>
    <xdr:to>
      <xdr:col>2</xdr:col>
      <xdr:colOff>800100</xdr:colOff>
      <xdr:row>52</xdr:row>
      <xdr:rowOff>180975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CxnSpPr/>
      </xdr:nvCxnSpPr>
      <xdr:spPr>
        <a:xfrm>
          <a:off x="2266950" y="149352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87709</xdr:colOff>
      <xdr:row>13</xdr:row>
      <xdr:rowOff>30041</xdr:rowOff>
    </xdr:from>
    <xdr:to>
      <xdr:col>22</xdr:col>
      <xdr:colOff>783034</xdr:colOff>
      <xdr:row>13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 bwMode="auto">
        <a:xfrm>
          <a:off x="17642284" y="40305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12</xdr:row>
      <xdr:rowOff>145901</xdr:rowOff>
    </xdr:from>
    <xdr:to>
      <xdr:col>32</xdr:col>
      <xdr:colOff>102577</xdr:colOff>
      <xdr:row>14</xdr:row>
      <xdr:rowOff>183174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0038108" y="3832076"/>
          <a:ext cx="4867569" cy="665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82824</xdr:colOff>
      <xdr:row>13</xdr:row>
      <xdr:rowOff>30525</xdr:rowOff>
    </xdr:from>
    <xdr:to>
      <xdr:col>24</xdr:col>
      <xdr:colOff>463421</xdr:colOff>
      <xdr:row>13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19532874" y="40310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13</xdr:row>
      <xdr:rowOff>30041</xdr:rowOff>
    </xdr:from>
    <xdr:to>
      <xdr:col>22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87709</xdr:colOff>
      <xdr:row>32</xdr:row>
      <xdr:rowOff>30041</xdr:rowOff>
    </xdr:from>
    <xdr:to>
      <xdr:col>22</xdr:col>
      <xdr:colOff>783034</xdr:colOff>
      <xdr:row>32</xdr:row>
      <xdr:rowOff>283919</xdr:rowOff>
    </xdr:to>
    <xdr:sp macro="" textlink="">
      <xdr:nvSpPr>
        <xdr:cNvPr id="22" name="Freccia a destra 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31</xdr:row>
      <xdr:rowOff>145901</xdr:rowOff>
    </xdr:from>
    <xdr:to>
      <xdr:col>32</xdr:col>
      <xdr:colOff>102577</xdr:colOff>
      <xdr:row>33</xdr:row>
      <xdr:rowOff>183174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 txBox="1"/>
      </xdr:nvSpPr>
      <xdr:spPr>
        <a:xfrm>
          <a:off x="21000422" y="3875083"/>
          <a:ext cx="5171791" cy="660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82824</xdr:colOff>
      <xdr:row>32</xdr:row>
      <xdr:rowOff>30525</xdr:rowOff>
    </xdr:from>
    <xdr:to>
      <xdr:col>24</xdr:col>
      <xdr:colOff>463421</xdr:colOff>
      <xdr:row>32</xdr:row>
      <xdr:rowOff>284403</xdr:rowOff>
    </xdr:to>
    <xdr:sp macro="" textlink="">
      <xdr:nvSpPr>
        <xdr:cNvPr id="24" name="Freccia a destra 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/>
      </xdr:nvSpPr>
      <xdr:spPr bwMode="auto">
        <a:xfrm>
          <a:off x="20495188" y="4071434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32</xdr:row>
      <xdr:rowOff>30041</xdr:rowOff>
    </xdr:from>
    <xdr:to>
      <xdr:col>22</xdr:col>
      <xdr:colOff>783034</xdr:colOff>
      <xdr:row>32</xdr:row>
      <xdr:rowOff>283919</xdr:rowOff>
    </xdr:to>
    <xdr:sp macro="" textlink="">
      <xdr:nvSpPr>
        <xdr:cNvPr id="25" name="Freccia a destra 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2" sqref="B2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635</v>
      </c>
      <c r="B1" t="s">
        <v>636</v>
      </c>
      <c r="C1" s="582" t="s">
        <v>637</v>
      </c>
      <c r="D1" s="583" t="s">
        <v>638</v>
      </c>
    </row>
    <row r="2" spans="1:4" ht="90">
      <c r="A2" t="s">
        <v>639</v>
      </c>
      <c r="B2" t="str">
        <f>IF(C2="","","Oblazione")</f>
        <v>Oblazione</v>
      </c>
      <c r="C2" s="584">
        <f>IF(SUM(VARIANTI!$G$2:$G$20)&gt;0,VARIANTI!G11,IF(Allegato_1Cs!AI208=0,"",Allegato_1Cs!AI208))</f>
        <v>1600</v>
      </c>
      <c r="D2" s="607" t="str">
        <f>IF(C2="","",IF(SUM(VARIANTI!$G$2:$G$20)&gt;0,VARIANTI!H11,Allegato_1Cs!AP192))</f>
        <v xml:space="preserve"> [Oblazione (lett.a DC)] = [Cdc x 2] 1600 €
 [Oblazione (lett.a G)] = [Cdc x 2] 0 €
 [Oblazione (lett.b DC)] = [Cdc x 1] 0 €
 [Oblazione (lett.b G)] = [Cdc x 1] 0 €
 [Oblazione (lett.c DC)] = 0 €
 [Oblazione (lett.c G)] = 0 €</v>
      </c>
    </row>
    <row r="3" spans="1:4">
      <c r="B3" t="str">
        <f>IF(C3="","","Monetizzazione")</f>
        <v/>
      </c>
      <c r="C3" s="584" t="str">
        <f>IF(SUM(VARIANTI!$G$2:$G$20)&gt;0,VARIANTI!G6,IF(Allegato_1Cs!AB207=0,"",Allegato_1Cs!AB207))</f>
        <v/>
      </c>
      <c r="D3" s="607" t="str">
        <f>IF(C3="","",IF(SUM(VARIANTI!$G$2:$G$20)&gt;0,VARIANTI!H6,Allegato_1Cs!AP122))</f>
        <v/>
      </c>
    </row>
    <row r="4" spans="1:4">
      <c r="B4" t="str">
        <f>IF(C4="","","Contributo Città Pubblica")</f>
        <v/>
      </c>
      <c r="C4" s="584" t="str">
        <f>IF(SUM(VARIANTI!$G$2:$G$20)&gt;0,VARIANTI!G7,IF(Allegato_1Cs!AF200=0,"",Allegato_1Cs!AF200))</f>
        <v/>
      </c>
    </row>
    <row r="5" spans="1:4">
      <c r="B5" t="str">
        <f>IF(C5="","","Contributo Straordinario")</f>
        <v/>
      </c>
      <c r="C5" s="584" t="str">
        <f>IF(SUM(VARIANTI!$G$2:$G$20)&gt;0,VARIANTI!G8,IF(Allegato_1Cs!AF187=0,"",Allegato_1Cs!AF187))</f>
        <v/>
      </c>
    </row>
    <row r="6" spans="1:4">
      <c r="C6" s="584"/>
    </row>
    <row r="7" spans="1:4">
      <c r="C7" s="584"/>
    </row>
    <row r="8" spans="1:4">
      <c r="C8" s="584"/>
    </row>
    <row r="9" spans="1:4">
      <c r="C9" s="58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0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7109375" style="4" customWidth="1"/>
    <col min="2" max="2" width="24.7109375" style="4" customWidth="1"/>
    <col min="3" max="3" width="18.28515625" style="4" customWidth="1"/>
    <col min="4" max="4" width="20.7109375" style="4" customWidth="1"/>
    <col min="5" max="5" width="25.5703125" style="4" customWidth="1"/>
    <col min="6" max="6" width="15.7109375" style="4" customWidth="1"/>
    <col min="7" max="7" width="18.140625" style="4" customWidth="1"/>
    <col min="8" max="12" width="12.7109375" style="4" customWidth="1"/>
    <col min="13" max="13" width="12.42578125" style="4" customWidth="1"/>
    <col min="14" max="17" width="11.7109375" style="4" customWidth="1"/>
    <col min="18" max="18" width="10.7109375" style="4" customWidth="1"/>
    <col min="19" max="19" width="5.7109375" style="4" customWidth="1"/>
    <col min="20" max="20" width="25.7109375" style="4" customWidth="1"/>
    <col min="21" max="21" width="15.7109375" style="4" customWidth="1"/>
    <col min="22" max="22" width="12.7109375" style="4" customWidth="1"/>
    <col min="23" max="23" width="15.7109375" style="4" customWidth="1"/>
    <col min="24" max="25" width="9.140625" style="4"/>
    <col min="26" max="26" width="5.7109375" style="4" customWidth="1"/>
    <col min="27" max="16384" width="9.140625" style="4"/>
  </cols>
  <sheetData>
    <row r="1" spans="2:29" ht="13.5" thickBot="1"/>
    <row r="2" spans="2:29" ht="35.1" customHeight="1">
      <c r="B2" s="912" t="s">
        <v>338</v>
      </c>
      <c r="C2" s="915" t="s">
        <v>339</v>
      </c>
      <c r="D2" s="823"/>
      <c r="E2" s="823"/>
      <c r="F2" s="823"/>
      <c r="G2" s="823"/>
      <c r="H2" s="824"/>
      <c r="I2" s="5"/>
    </row>
    <row r="3" spans="2:29" ht="35.1" customHeight="1">
      <c r="B3" s="913"/>
      <c r="C3" s="916" t="s">
        <v>340</v>
      </c>
      <c r="D3" s="917"/>
      <c r="E3" s="917"/>
      <c r="F3" s="917"/>
      <c r="G3" s="917"/>
      <c r="H3" s="918"/>
      <c r="I3" s="5"/>
    </row>
    <row r="4" spans="2:29" ht="35.1" customHeight="1" thickBot="1">
      <c r="B4" s="914"/>
      <c r="C4" s="896" t="s">
        <v>512</v>
      </c>
      <c r="D4" s="826"/>
      <c r="E4" s="826"/>
      <c r="F4" s="826"/>
      <c r="G4" s="826"/>
      <c r="H4" s="827"/>
      <c r="I4" s="5"/>
    </row>
    <row r="5" spans="2:29" ht="9.9499999999999993" customHeight="1">
      <c r="B5" s="322"/>
      <c r="C5" s="323"/>
      <c r="D5" s="321"/>
      <c r="E5" s="321"/>
      <c r="F5" s="321"/>
      <c r="G5" s="321"/>
      <c r="H5" s="321"/>
      <c r="I5" s="5"/>
    </row>
    <row r="6" spans="2:29" ht="24.95" customHeight="1">
      <c r="B6" s="828" t="s">
        <v>24</v>
      </c>
      <c r="C6" s="829"/>
      <c r="D6" s="829"/>
      <c r="E6" s="829"/>
      <c r="F6" s="829"/>
      <c r="G6" s="829"/>
      <c r="H6" s="830"/>
      <c r="I6" s="5"/>
    </row>
    <row r="8" spans="2:29" ht="24.75" customHeight="1">
      <c r="B8" s="6" t="s">
        <v>341</v>
      </c>
      <c r="G8" s="481" t="s">
        <v>623</v>
      </c>
      <c r="K8" s="32"/>
    </row>
    <row r="9" spans="2:29" ht="24.75" customHeight="1">
      <c r="B9" s="48" t="s">
        <v>622</v>
      </c>
      <c r="C9" s="574" t="s">
        <v>91</v>
      </c>
      <c r="D9" s="576"/>
      <c r="E9" s="576"/>
      <c r="F9" s="576"/>
      <c r="G9" s="481" t="s">
        <v>625</v>
      </c>
      <c r="H9" s="576"/>
      <c r="K9" s="32"/>
    </row>
    <row r="10" spans="2:29" ht="24.75" customHeight="1">
      <c r="B10" s="48" t="s">
        <v>621</v>
      </c>
      <c r="C10" s="574" t="s">
        <v>620</v>
      </c>
      <c r="D10" s="575"/>
      <c r="E10" s="575"/>
      <c r="F10" s="84"/>
      <c r="G10" s="84"/>
      <c r="H10" s="84"/>
      <c r="K10" s="32"/>
    </row>
    <row r="11" spans="2:29" ht="15" customHeight="1">
      <c r="B11" s="45"/>
      <c r="C11" s="370"/>
      <c r="D11"/>
      <c r="E11"/>
      <c r="K11" s="32"/>
    </row>
    <row r="12" spans="2:29" ht="24.75" customHeight="1">
      <c r="B12" s="903" t="s">
        <v>458</v>
      </c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5"/>
      <c r="N12" s="905"/>
      <c r="O12" s="905"/>
      <c r="P12" s="906"/>
      <c r="Q12"/>
      <c r="R12" s="492" t="s">
        <v>548</v>
      </c>
    </row>
    <row r="13" spans="2:29" ht="24.75" customHeight="1" thickBot="1">
      <c r="B13" s="907"/>
      <c r="C13" s="908"/>
      <c r="D13" s="908"/>
      <c r="E13" s="908"/>
      <c r="F13" s="908"/>
      <c r="G13" s="908"/>
      <c r="H13" s="908"/>
      <c r="I13" s="908"/>
      <c r="J13" s="908"/>
      <c r="K13" s="908"/>
      <c r="L13" s="908"/>
      <c r="M13" s="909"/>
      <c r="N13" s="909"/>
      <c r="O13" s="909"/>
      <c r="P13" s="910"/>
      <c r="Q13"/>
      <c r="R13" s="44"/>
    </row>
    <row r="14" spans="2:29" ht="24.75" customHeight="1" thickBot="1">
      <c r="B14" s="217"/>
      <c r="P14" s="30"/>
      <c r="R14" s="493" t="s">
        <v>521</v>
      </c>
      <c r="S14" s="494" t="s">
        <v>1</v>
      </c>
      <c r="T14" s="495" t="s">
        <v>522</v>
      </c>
      <c r="U14" s="496" t="e">
        <f>(T15*T16*T17*1000)/T18</f>
        <v>#DIV/0!</v>
      </c>
      <c r="V14" s="497"/>
      <c r="W14" s="508" t="e">
        <f>U14/0.475</f>
        <v>#DIV/0!</v>
      </c>
      <c r="X14" s="889"/>
      <c r="Y14" s="890"/>
      <c r="Z14" s="890"/>
      <c r="AA14" s="890"/>
      <c r="AB14" s="890"/>
      <c r="AC14" s="890"/>
    </row>
    <row r="15" spans="2:29" ht="24.75" customHeight="1">
      <c r="B15" s="654" t="s">
        <v>397</v>
      </c>
      <c r="C15" s="858"/>
      <c r="D15" s="44"/>
      <c r="E15" s="879" t="s">
        <v>457</v>
      </c>
      <c r="F15" s="880"/>
      <c r="G15" s="846" t="s">
        <v>93</v>
      </c>
      <c r="H15" s="847"/>
      <c r="I15" s="848"/>
      <c r="J15" s="162"/>
      <c r="K15" s="163"/>
      <c r="L15" s="162"/>
      <c r="P15" s="30"/>
      <c r="R15" s="162" t="s">
        <v>433</v>
      </c>
      <c r="S15" s="162" t="s">
        <v>1</v>
      </c>
      <c r="T15" s="498">
        <v>0</v>
      </c>
      <c r="U15" s="499" t="s">
        <v>524</v>
      </c>
    </row>
    <row r="16" spans="2:29" ht="24.75" customHeight="1">
      <c r="B16" s="3"/>
      <c r="C16" s="164"/>
      <c r="D16" s="44"/>
      <c r="E16" s="130" t="s">
        <v>94</v>
      </c>
      <c r="F16" s="165" t="s">
        <v>95</v>
      </c>
      <c r="G16" s="849" t="s">
        <v>96</v>
      </c>
      <c r="H16" s="166" t="s">
        <v>97</v>
      </c>
      <c r="I16" s="557">
        <f>'QCC (A)'!I43</f>
        <v>1</v>
      </c>
      <c r="J16" s="162"/>
      <c r="K16" s="546" t="s">
        <v>596</v>
      </c>
      <c r="L16" s="162"/>
      <c r="P16" s="30"/>
      <c r="R16" s="162" t="s">
        <v>525</v>
      </c>
      <c r="S16" s="162" t="s">
        <v>1</v>
      </c>
      <c r="T16" s="617">
        <v>0.41170000000000001</v>
      </c>
      <c r="U16" s="499" t="s">
        <v>526</v>
      </c>
      <c r="Z16" s="618"/>
      <c r="AA16" s="619"/>
      <c r="AB16" s="618"/>
      <c r="AC16" s="618"/>
    </row>
    <row r="17" spans="2:29" ht="24.75" customHeight="1">
      <c r="B17" s="891" t="s">
        <v>658</v>
      </c>
      <c r="C17" s="892"/>
      <c r="D17" s="44"/>
      <c r="E17" s="376" t="s">
        <v>509</v>
      </c>
      <c r="F17" s="246">
        <f>IF(F16=H16,AVERAGE(C20:C21)*I16,IF(F16=H17,AVERAGE(C20:C21)*I17,IF(F16=H18,AVERAGE(C20:C21)*I18,"errore o dati mancanti")))</f>
        <v>0</v>
      </c>
      <c r="G17" s="850"/>
      <c r="H17" s="166" t="s">
        <v>95</v>
      </c>
      <c r="I17" s="557">
        <f>'QCC (A)'!I44</f>
        <v>1.3</v>
      </c>
      <c r="J17" s="162"/>
      <c r="K17" s="546" t="s">
        <v>597</v>
      </c>
      <c r="L17" s="162"/>
      <c r="P17" s="30"/>
      <c r="R17" s="162" t="s">
        <v>527</v>
      </c>
      <c r="S17" s="162" t="s">
        <v>1</v>
      </c>
      <c r="T17" s="620">
        <v>117.15</v>
      </c>
      <c r="U17" s="499" t="s">
        <v>675</v>
      </c>
      <c r="Z17" s="621"/>
      <c r="AA17" s="622"/>
      <c r="AB17" s="618"/>
      <c r="AC17" s="618"/>
    </row>
    <row r="18" spans="2:29" ht="24.75" customHeight="1">
      <c r="B18" s="893"/>
      <c r="C18" s="894"/>
      <c r="D18" s="229"/>
      <c r="E18" s="377" t="s">
        <v>510</v>
      </c>
      <c r="F18" s="169"/>
      <c r="G18" s="851"/>
      <c r="H18" s="230" t="s">
        <v>100</v>
      </c>
      <c r="I18" s="557">
        <f>'QCC (A)'!I45</f>
        <v>2</v>
      </c>
      <c r="J18" s="162"/>
      <c r="K18" s="546" t="s">
        <v>598</v>
      </c>
      <c r="L18" s="162"/>
      <c r="P18" s="30"/>
      <c r="R18" s="162" t="s">
        <v>528</v>
      </c>
      <c r="S18" s="162" t="s">
        <v>1</v>
      </c>
      <c r="T18" s="500">
        <v>0</v>
      </c>
      <c r="U18" s="499" t="s">
        <v>529</v>
      </c>
    </row>
    <row r="19" spans="2:29" ht="24.75" customHeight="1">
      <c r="B19" s="49"/>
      <c r="C19" s="170"/>
      <c r="D19" s="44"/>
      <c r="E19" s="171"/>
      <c r="F19" s="171"/>
      <c r="G19" s="162"/>
      <c r="H19" s="231"/>
      <c r="I19" s="162"/>
      <c r="J19" s="162"/>
      <c r="K19" s="162"/>
      <c r="L19" s="162"/>
      <c r="P19" s="30"/>
      <c r="T19" s="501" t="s">
        <v>530</v>
      </c>
      <c r="U19" s="502" t="s">
        <v>676</v>
      </c>
    </row>
    <row r="20" spans="2:29" ht="24.75" customHeight="1">
      <c r="B20" s="55" t="s">
        <v>184</v>
      </c>
      <c r="C20" s="56">
        <v>0</v>
      </c>
      <c r="D20" s="44"/>
      <c r="E20" s="654" t="s">
        <v>185</v>
      </c>
      <c r="F20" s="859"/>
      <c r="G20" s="849" t="s">
        <v>186</v>
      </c>
      <c r="H20" s="846" t="s">
        <v>187</v>
      </c>
      <c r="I20" s="847"/>
      <c r="J20" s="847"/>
      <c r="K20" s="847"/>
      <c r="L20" s="847"/>
      <c r="M20" s="847"/>
      <c r="N20" s="847"/>
      <c r="O20" s="847"/>
      <c r="P20" s="848"/>
      <c r="Q20"/>
      <c r="U20" s="502" t="s">
        <v>677</v>
      </c>
    </row>
    <row r="21" spans="2:29" ht="24.75" customHeight="1">
      <c r="B21" s="55" t="s">
        <v>189</v>
      </c>
      <c r="C21" s="56">
        <v>0</v>
      </c>
      <c r="D21" s="44"/>
      <c r="E21" s="539" t="s">
        <v>190</v>
      </c>
      <c r="F21" s="172" t="s">
        <v>584</v>
      </c>
      <c r="G21" s="850"/>
      <c r="H21" s="533" t="s">
        <v>192</v>
      </c>
      <c r="I21" s="533" t="s">
        <v>191</v>
      </c>
      <c r="J21" s="533" t="s">
        <v>193</v>
      </c>
      <c r="K21" s="533" t="s">
        <v>194</v>
      </c>
      <c r="L21" s="533" t="s">
        <v>595</v>
      </c>
      <c r="M21" s="533" t="s">
        <v>584</v>
      </c>
      <c r="N21" s="533" t="s">
        <v>585</v>
      </c>
      <c r="O21" s="533" t="s">
        <v>460</v>
      </c>
      <c r="P21" s="533" t="s">
        <v>459</v>
      </c>
      <c r="Q21" s="537"/>
    </row>
    <row r="22" spans="2:29" ht="24.75" customHeight="1">
      <c r="B22" s="554"/>
      <c r="C22" s="550" t="s">
        <v>385</v>
      </c>
      <c r="D22" s="232"/>
      <c r="E22" s="540" t="s">
        <v>465</v>
      </c>
      <c r="F22" s="172" t="s">
        <v>584</v>
      </c>
      <c r="G22" s="851"/>
      <c r="H22" s="228">
        <f>'QCC (C)'!T15</f>
        <v>1</v>
      </c>
      <c r="I22" s="532">
        <f>'QCC (C)'!U15</f>
        <v>0.87</v>
      </c>
      <c r="J22" s="532">
        <f>'QCC (C)'!V15</f>
        <v>1.28</v>
      </c>
      <c r="K22" s="532">
        <f>'QCC (C)'!W15</f>
        <v>0.87</v>
      </c>
      <c r="L22" s="532">
        <f>'QCC (C)'!X15</f>
        <v>1.01</v>
      </c>
      <c r="M22" s="532">
        <f>'QCC (C)'!Y15</f>
        <v>0.36</v>
      </c>
      <c r="N22" s="532">
        <f>'QCC (C)'!Z15</f>
        <v>0.35</v>
      </c>
      <c r="O22" s="532">
        <f>'QCC (C)'!AA15</f>
        <v>0.44</v>
      </c>
      <c r="P22" s="532">
        <f>'QCC (C)'!AB15</f>
        <v>0.51</v>
      </c>
      <c r="Q22" s="545"/>
    </row>
    <row r="23" spans="2:29" ht="24.75" customHeight="1">
      <c r="B23" s="547" t="s">
        <v>253</v>
      </c>
      <c r="C23" s="548">
        <f>F23</f>
        <v>0</v>
      </c>
      <c r="D23" s="551"/>
      <c r="E23" s="552" t="s">
        <v>478</v>
      </c>
      <c r="F23" s="538">
        <f>IF(AND(F21=I21,F22=I21),F17*H22,IF(AND(F21=J21,F22=J21),F17*H22,IF(AND(F21=K21,F22=K21),F17*H22,IF(AND(F21=M21,F22=M21),F17*H22,IF(AND(F21=N21,F22=N21),F17*H22,IF(AND(F21=O21,F22=O21),F17*H22,IF(AND(F21=H21,F22=I21),F17*I22,IF(AND(F21=H21,F22=J21),F17*J22,IF(AND(F21=H21,F22=K21),F17*K22,IF(AND(F21=H21,F22=M21),F17*M22,IF(AND(F21=H21,F22=N21),F17*N22,IF(AND(F21=H21,F22=O21),F17*O22,IF(AND(F21=H21,F22=P21),F17*P22,IF(AND(F21=H21,F22=L21),F17*L22,IF(AND(F21=F22),F17*1,"errore/dati mancanti")))))))))))))))</f>
        <v>0</v>
      </c>
      <c r="G23" s="199"/>
      <c r="H23" s="555"/>
      <c r="I23" s="199"/>
      <c r="J23" s="199"/>
      <c r="K23" s="199"/>
      <c r="L23" s="199"/>
      <c r="M23" s="199"/>
      <c r="N23" s="199"/>
      <c r="O23" s="199"/>
      <c r="P23" s="553"/>
      <c r="Q23"/>
    </row>
    <row r="24" spans="2:29" ht="24.75" customHeight="1">
      <c r="B24" s="211"/>
      <c r="C24" s="241"/>
      <c r="D24" s="44"/>
      <c r="E24" s="484"/>
      <c r="F24" s="246"/>
      <c r="H24" s="481" t="s">
        <v>659</v>
      </c>
      <c r="O24"/>
      <c r="P24"/>
      <c r="Q24"/>
    </row>
    <row r="25" spans="2:29" ht="24.75" customHeight="1">
      <c r="B25" s="211"/>
      <c r="C25" s="241"/>
      <c r="D25" s="44"/>
      <c r="E25" s="484"/>
      <c r="F25" s="246"/>
      <c r="H25" s="481" t="s">
        <v>660</v>
      </c>
      <c r="O25"/>
      <c r="P25"/>
      <c r="Q25"/>
    </row>
    <row r="26" spans="2:29" ht="24.75" customHeight="1">
      <c r="B26" s="240"/>
      <c r="C26" s="241"/>
      <c r="D26" s="44"/>
      <c r="E26" s="46"/>
      <c r="F26" s="242"/>
      <c r="H26" s="481"/>
    </row>
    <row r="27" spans="2:29" ht="24.75" customHeight="1">
      <c r="B27" s="6" t="s">
        <v>255</v>
      </c>
      <c r="F27" s="481"/>
      <c r="H27" s="481"/>
      <c r="K27" s="32"/>
    </row>
    <row r="28" spans="2:29" ht="24.75" customHeight="1">
      <c r="B28" s="48" t="s">
        <v>622</v>
      </c>
      <c r="C28" s="574" t="s">
        <v>91</v>
      </c>
      <c r="D28" s="576"/>
      <c r="E28" s="576"/>
      <c r="F28" s="576"/>
      <c r="G28" s="576"/>
      <c r="K28" s="32"/>
    </row>
    <row r="29" spans="2:29" ht="24.75" customHeight="1">
      <c r="B29" s="48" t="s">
        <v>621</v>
      </c>
      <c r="C29" s="574" t="s">
        <v>620</v>
      </c>
      <c r="D29" s="575"/>
      <c r="E29" s="575"/>
      <c r="F29" s="84"/>
      <c r="G29" s="84"/>
      <c r="H29" s="84"/>
      <c r="K29" s="32"/>
    </row>
    <row r="30" spans="2:29" ht="15" customHeight="1">
      <c r="B30" s="45"/>
      <c r="C30" s="370"/>
      <c r="D30"/>
      <c r="E30"/>
      <c r="K30" s="32"/>
    </row>
    <row r="31" spans="2:29" ht="24.75" customHeight="1">
      <c r="B31" s="903" t="s">
        <v>461</v>
      </c>
      <c r="C31" s="905"/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6"/>
    </row>
    <row r="32" spans="2:29" ht="24.75" customHeight="1">
      <c r="B32" s="911"/>
      <c r="C32" s="909"/>
      <c r="D32" s="909"/>
      <c r="E32" s="909"/>
      <c r="F32" s="909"/>
      <c r="G32" s="909"/>
      <c r="H32" s="909"/>
      <c r="I32" s="909"/>
      <c r="J32" s="909"/>
      <c r="K32" s="909"/>
      <c r="L32" s="909"/>
      <c r="M32" s="909"/>
      <c r="N32" s="909"/>
      <c r="O32" s="909"/>
      <c r="P32" s="910"/>
    </row>
    <row r="33" spans="2:16" ht="24.75" customHeight="1">
      <c r="B33" s="217"/>
      <c r="D33" s="44"/>
      <c r="E33" s="44"/>
      <c r="F33" s="46"/>
      <c r="G33" s="44"/>
      <c r="H33" s="44"/>
      <c r="I33" s="44"/>
      <c r="J33" s="44"/>
      <c r="K33" s="44"/>
      <c r="L33" s="44"/>
      <c r="P33" s="30"/>
    </row>
    <row r="34" spans="2:16" ht="24.75" customHeight="1">
      <c r="B34" s="654" t="s">
        <v>397</v>
      </c>
      <c r="C34" s="858"/>
      <c r="D34" s="47"/>
      <c r="E34" s="654" t="s">
        <v>457</v>
      </c>
      <c r="F34" s="859"/>
      <c r="G34" s="846" t="s">
        <v>93</v>
      </c>
      <c r="H34" s="847"/>
      <c r="I34" s="848"/>
      <c r="J34" s="48"/>
      <c r="K34" s="48"/>
      <c r="L34" s="48"/>
      <c r="P34" s="30"/>
    </row>
    <row r="35" spans="2:16" ht="24.75" customHeight="1">
      <c r="B35" s="49"/>
      <c r="C35" s="50"/>
      <c r="D35" s="47"/>
      <c r="E35" s="51" t="s">
        <v>94</v>
      </c>
      <c r="F35" s="52" t="s">
        <v>95</v>
      </c>
      <c r="G35" s="849" t="s">
        <v>96</v>
      </c>
      <c r="H35" s="53" t="s">
        <v>97</v>
      </c>
      <c r="I35" s="556">
        <f>'QCC (A)'!I43</f>
        <v>1</v>
      </c>
      <c r="J35" s="48"/>
      <c r="K35" s="48"/>
      <c r="L35" s="48"/>
      <c r="P35" s="30"/>
    </row>
    <row r="36" spans="2:16" ht="24.75" customHeight="1">
      <c r="B36" s="55" t="s">
        <v>98</v>
      </c>
      <c r="C36" s="56">
        <v>0</v>
      </c>
      <c r="D36" s="47"/>
      <c r="E36" s="376" t="s">
        <v>509</v>
      </c>
      <c r="F36" s="243">
        <f>IF(F35=H35,AVERAGE(C36:C37)*I35,IF(F35=H36,AVERAGE(C36:C37)*I36,IF(F35=H37,AVERAGE(C36:C37)*I37,"errore o dati mancanti")))</f>
        <v>0</v>
      </c>
      <c r="G36" s="850"/>
      <c r="H36" s="53" t="s">
        <v>95</v>
      </c>
      <c r="I36" s="556">
        <f>'QCC (A)'!I44</f>
        <v>1.3</v>
      </c>
      <c r="J36" s="48"/>
      <c r="K36" s="48"/>
      <c r="L36" s="48"/>
      <c r="P36" s="30"/>
    </row>
    <row r="37" spans="2:16" ht="24.75" customHeight="1">
      <c r="B37" s="55" t="s">
        <v>99</v>
      </c>
      <c r="C37" s="56">
        <v>0</v>
      </c>
      <c r="D37" s="222"/>
      <c r="E37" s="377" t="s">
        <v>510</v>
      </c>
      <c r="F37" s="58"/>
      <c r="G37" s="851"/>
      <c r="H37" s="59" t="s">
        <v>100</v>
      </c>
      <c r="I37" s="556">
        <f>'QCC (A)'!I45</f>
        <v>2</v>
      </c>
      <c r="J37" s="48"/>
      <c r="K37" s="48"/>
      <c r="L37" s="48"/>
      <c r="P37" s="30"/>
    </row>
    <row r="38" spans="2:16" ht="24.75" customHeight="1">
      <c r="B38" s="49"/>
      <c r="C38" s="472" t="s">
        <v>385</v>
      </c>
      <c r="D38" s="47"/>
      <c r="E38" s="60"/>
      <c r="F38" s="60"/>
      <c r="G38" s="48"/>
      <c r="H38" s="61"/>
      <c r="I38" s="48"/>
      <c r="J38" s="48"/>
      <c r="K38" s="48"/>
      <c r="L38" s="48"/>
      <c r="P38" s="30"/>
    </row>
    <row r="39" spans="2:16" ht="24.75" customHeight="1">
      <c r="B39" s="223" t="s">
        <v>254</v>
      </c>
      <c r="C39" s="63">
        <f>F43</f>
        <v>0</v>
      </c>
      <c r="D39" s="47"/>
      <c r="E39" s="852" t="s">
        <v>518</v>
      </c>
      <c r="F39" s="853"/>
      <c r="G39" s="849" t="s">
        <v>102</v>
      </c>
      <c r="H39" s="846" t="s">
        <v>532</v>
      </c>
      <c r="I39" s="847"/>
      <c r="J39" s="847"/>
      <c r="K39" s="847"/>
      <c r="L39" s="847"/>
      <c r="M39" s="860"/>
      <c r="N39" s="860"/>
      <c r="O39" s="860"/>
      <c r="P39" s="861"/>
    </row>
    <row r="40" spans="2:16" ht="24.75" customHeight="1">
      <c r="B40" s="69"/>
      <c r="C40" s="47"/>
      <c r="D40" s="47"/>
      <c r="E40" s="854"/>
      <c r="F40" s="855"/>
      <c r="G40" s="851"/>
      <c r="H40" s="64" t="s">
        <v>103</v>
      </c>
      <c r="I40" s="64" t="s">
        <v>104</v>
      </c>
      <c r="J40" s="64" t="s">
        <v>105</v>
      </c>
      <c r="K40" s="64" t="s">
        <v>106</v>
      </c>
      <c r="L40" s="64" t="s">
        <v>107</v>
      </c>
      <c r="M40" s="64" t="s">
        <v>582</v>
      </c>
      <c r="N40" s="64" t="s">
        <v>581</v>
      </c>
      <c r="O40" s="64" t="s">
        <v>579</v>
      </c>
      <c r="P40" s="64" t="s">
        <v>580</v>
      </c>
    </row>
    <row r="41" spans="2:16" ht="24.75" customHeight="1">
      <c r="B41" s="217"/>
      <c r="D41" s="47"/>
      <c r="E41" s="51" t="s">
        <v>108</v>
      </c>
      <c r="F41" s="542" t="s">
        <v>103</v>
      </c>
      <c r="G41" s="64" t="s">
        <v>103</v>
      </c>
      <c r="H41" s="54">
        <f>'QCC (A)'!H49</f>
        <v>1</v>
      </c>
      <c r="I41" s="541">
        <f>'QCC (A)'!I49</f>
        <v>0.81</v>
      </c>
      <c r="J41" s="541">
        <f>'QCC (A)'!J49</f>
        <v>1.49</v>
      </c>
      <c r="K41" s="541">
        <f>'QCC (A)'!K49</f>
        <v>0.84</v>
      </c>
      <c r="L41" s="541">
        <f>'QCC (A)'!L49</f>
        <v>1.0900000000000001</v>
      </c>
      <c r="M41" s="541">
        <f>'QCC (A)'!M49</f>
        <v>0.57999999999999996</v>
      </c>
      <c r="N41" s="541">
        <f>'QCC (A)'!N49</f>
        <v>0.55000000000000004</v>
      </c>
      <c r="O41" s="541">
        <f>'QCC (A)'!O49</f>
        <v>0.41</v>
      </c>
      <c r="P41" s="541">
        <f>'QCC (A)'!P49</f>
        <v>0.31</v>
      </c>
    </row>
    <row r="42" spans="2:16" ht="24.75" customHeight="1">
      <c r="B42" s="486" t="s">
        <v>382</v>
      </c>
      <c r="C42" s="67"/>
      <c r="D42" s="66"/>
      <c r="E42" s="65" t="s">
        <v>111</v>
      </c>
      <c r="F42" s="68" t="s">
        <v>103</v>
      </c>
      <c r="H42" s="7" t="s">
        <v>653</v>
      </c>
      <c r="P42" s="30"/>
    </row>
    <row r="43" spans="2:16" ht="24.75" customHeight="1">
      <c r="B43" s="487" t="s">
        <v>383</v>
      </c>
      <c r="D43" s="66"/>
      <c r="E43" s="69"/>
      <c r="F43" s="243">
        <f>IF(AND(F41=G41,F42=H40),F36*H41,IF(AND(F41=G41,F42=I40),F36*I41,IF(AND(F41=G41,F42=J40),F36*J41,IF(AND(F41=G41,F42=K40),F36*K41,IF(AND(F41=G41,F42=L40),F36*L41,IF(AND(F41=G41,F42=M40),F36*M41,IF(AND(F41=G41,F42=N40),F36*N41,IF(AND(F41=G41,F42=O40),F36*O41,IF(AND(F41=G41,F42=P40),F36*P41,IF(AND(F41=F42),F36*1,"errore o dati mancanti"))))))))))</f>
        <v>0</v>
      </c>
      <c r="H43" s="4" t="s">
        <v>654</v>
      </c>
      <c r="P43" s="30"/>
    </row>
    <row r="44" spans="2:16" ht="24.75" customHeight="1">
      <c r="B44" s="69"/>
      <c r="C44" s="47"/>
      <c r="D44" s="47"/>
      <c r="E44" s="597" t="s">
        <v>656</v>
      </c>
      <c r="F44" s="60"/>
      <c r="H44" s="4" t="s">
        <v>655</v>
      </c>
      <c r="P44" s="30"/>
    </row>
    <row r="45" spans="2:16" ht="24.75" customHeight="1">
      <c r="B45" s="224"/>
      <c r="C45" s="225"/>
      <c r="D45" s="225"/>
      <c r="E45" s="598" t="s">
        <v>657</v>
      </c>
      <c r="F45" s="58"/>
      <c r="G45" s="233"/>
      <c r="H45" s="233"/>
      <c r="I45" s="233"/>
      <c r="J45" s="233"/>
      <c r="K45" s="233"/>
      <c r="L45" s="233"/>
      <c r="M45" s="233"/>
      <c r="N45" s="233"/>
      <c r="O45" s="233"/>
      <c r="P45" s="234"/>
    </row>
    <row r="46" spans="2:16" ht="24.75" customHeight="1">
      <c r="B46" s="47"/>
      <c r="C46" s="47"/>
      <c r="D46" s="47"/>
      <c r="E46" s="226"/>
      <c r="F46" s="60"/>
      <c r="G46" s="227"/>
      <c r="H46" s="126"/>
      <c r="I46" s="126"/>
      <c r="J46" s="126"/>
      <c r="K46" s="126"/>
      <c r="L46" s="126"/>
    </row>
    <row r="47" spans="2:16" ht="24.75" customHeight="1">
      <c r="B47" s="6" t="s">
        <v>256</v>
      </c>
      <c r="C47" s="47"/>
      <c r="D47" s="47"/>
      <c r="E47" s="226"/>
      <c r="F47" s="60"/>
      <c r="G47" s="227"/>
      <c r="H47" s="126"/>
      <c r="I47" s="126"/>
      <c r="J47" s="126"/>
      <c r="K47" s="126"/>
      <c r="L47" s="126"/>
    </row>
    <row r="48" spans="2:16" ht="15" customHeight="1">
      <c r="B48" s="6"/>
      <c r="C48" s="47"/>
      <c r="D48" s="47"/>
      <c r="E48" s="226"/>
      <c r="F48" s="60"/>
      <c r="G48" s="227"/>
      <c r="H48" s="126"/>
      <c r="I48" s="126"/>
      <c r="J48" s="126"/>
      <c r="K48" s="126"/>
      <c r="L48" s="126"/>
    </row>
    <row r="49" spans="2:12" ht="24.75" customHeight="1">
      <c r="B49" s="235" t="s">
        <v>252</v>
      </c>
      <c r="C49" s="236">
        <f>IF((C39-C23)*0.475&lt;0,0,(C39-C23)*0.475)</f>
        <v>0</v>
      </c>
      <c r="D49" s="47"/>
      <c r="E49" s="226"/>
      <c r="F49" s="60"/>
      <c r="G49" s="227"/>
      <c r="H49" s="126"/>
      <c r="I49" s="126"/>
      <c r="J49" s="126"/>
      <c r="K49" s="126"/>
      <c r="L49" s="126"/>
    </row>
    <row r="50" spans="2:12" ht="24.95" customHeight="1">
      <c r="B50" s="218"/>
      <c r="C50" s="219"/>
      <c r="D50" s="219"/>
      <c r="E50" s="219"/>
      <c r="F50" s="219"/>
      <c r="G50" s="219"/>
      <c r="H50" s="219"/>
      <c r="I50" s="5"/>
    </row>
    <row r="51" spans="2:12" ht="24.95" customHeight="1">
      <c r="B51" s="6" t="s">
        <v>260</v>
      </c>
    </row>
    <row r="52" spans="2:12" ht="24.95" customHeight="1">
      <c r="B52" s="7" t="s">
        <v>26</v>
      </c>
    </row>
    <row r="53" spans="2:12" s="9" customFormat="1" ht="15" customHeight="1">
      <c r="B53" s="8" t="s">
        <v>27</v>
      </c>
      <c r="C53" s="8" t="s">
        <v>28</v>
      </c>
      <c r="D53" s="8" t="s">
        <v>29</v>
      </c>
      <c r="E53" s="8" t="s">
        <v>30</v>
      </c>
      <c r="F53" s="8" t="s">
        <v>31</v>
      </c>
      <c r="G53" s="8" t="s">
        <v>32</v>
      </c>
      <c r="H53" s="4"/>
    </row>
    <row r="54" spans="2:12" s="9" customFormat="1" ht="15" customHeight="1">
      <c r="B54" s="10" t="s">
        <v>3</v>
      </c>
      <c r="C54" s="10" t="s">
        <v>33</v>
      </c>
      <c r="D54" s="10" t="s">
        <v>3</v>
      </c>
      <c r="E54" s="10" t="s">
        <v>34</v>
      </c>
      <c r="F54" s="10"/>
      <c r="G54" s="10" t="s">
        <v>35</v>
      </c>
      <c r="H54" s="4"/>
    </row>
    <row r="55" spans="2:12" s="12" customFormat="1" ht="15" customHeight="1">
      <c r="B55" s="11" t="s">
        <v>36</v>
      </c>
      <c r="C55" s="11" t="s">
        <v>37</v>
      </c>
      <c r="D55" s="11" t="s">
        <v>38</v>
      </c>
      <c r="E55" s="11" t="s">
        <v>39</v>
      </c>
      <c r="F55" s="11" t="s">
        <v>40</v>
      </c>
      <c r="G55" s="11" t="s">
        <v>41</v>
      </c>
      <c r="H55" s="4"/>
    </row>
    <row r="56" spans="2:12" s="9" customFormat="1" ht="15" customHeight="1">
      <c r="B56" s="454" t="s">
        <v>42</v>
      </c>
      <c r="C56" s="13">
        <v>0</v>
      </c>
      <c r="D56" s="14">
        <v>0</v>
      </c>
      <c r="E56" s="15" t="e">
        <f>D56/D61</f>
        <v>#DIV/0!</v>
      </c>
      <c r="F56" s="16">
        <v>0</v>
      </c>
      <c r="G56" s="17" t="e">
        <f>E56*F56</f>
        <v>#DIV/0!</v>
      </c>
      <c r="H56" s="4"/>
      <c r="J56" s="4"/>
    </row>
    <row r="57" spans="2:12" s="9" customFormat="1" ht="15" customHeight="1">
      <c r="B57" s="454" t="s">
        <v>43</v>
      </c>
      <c r="C57" s="13">
        <v>0</v>
      </c>
      <c r="D57" s="14">
        <v>0</v>
      </c>
      <c r="E57" s="15" t="e">
        <f>D57/D61</f>
        <v>#DIV/0!</v>
      </c>
      <c r="F57" s="16">
        <v>5</v>
      </c>
      <c r="G57" s="17" t="e">
        <f>E57*F57</f>
        <v>#DIV/0!</v>
      </c>
      <c r="H57" s="4"/>
      <c r="J57" s="4"/>
    </row>
    <row r="58" spans="2:12" s="9" customFormat="1" ht="15" customHeight="1">
      <c r="B58" s="454" t="s">
        <v>44</v>
      </c>
      <c r="C58" s="13">
        <v>0</v>
      </c>
      <c r="D58" s="14">
        <v>0</v>
      </c>
      <c r="E58" s="15" t="e">
        <f>D58/D61</f>
        <v>#DIV/0!</v>
      </c>
      <c r="F58" s="16">
        <v>15</v>
      </c>
      <c r="G58" s="17" t="e">
        <f>E58*F58</f>
        <v>#DIV/0!</v>
      </c>
      <c r="H58" s="4"/>
      <c r="J58" s="4"/>
    </row>
    <row r="59" spans="2:12" s="9" customFormat="1" ht="15" customHeight="1">
      <c r="B59" s="454" t="s">
        <v>45</v>
      </c>
      <c r="C59" s="13">
        <v>0</v>
      </c>
      <c r="D59" s="14">
        <v>0</v>
      </c>
      <c r="E59" s="15" t="e">
        <f>D59/D61</f>
        <v>#DIV/0!</v>
      </c>
      <c r="F59" s="16">
        <v>30</v>
      </c>
      <c r="G59" s="17" t="e">
        <f>E59*F59</f>
        <v>#DIV/0!</v>
      </c>
      <c r="H59" s="4"/>
      <c r="J59" s="4"/>
    </row>
    <row r="60" spans="2:12" s="9" customFormat="1" ht="15" customHeight="1" thickBot="1">
      <c r="B60" s="454" t="s">
        <v>46</v>
      </c>
      <c r="C60" s="13">
        <v>0</v>
      </c>
      <c r="D60" s="14">
        <v>0</v>
      </c>
      <c r="E60" s="15" t="e">
        <f>D60/D61</f>
        <v>#DIV/0!</v>
      </c>
      <c r="F60" s="16">
        <v>50</v>
      </c>
      <c r="G60" s="18" t="e">
        <f>E60*F60</f>
        <v>#DIV/0!</v>
      </c>
      <c r="H60" s="4"/>
      <c r="J60" s="4"/>
    </row>
    <row r="61" spans="2:12" s="9" customFormat="1" ht="15" customHeight="1" thickBot="1">
      <c r="B61" s="4"/>
      <c r="C61" s="19" t="s">
        <v>47</v>
      </c>
      <c r="D61" s="20">
        <f>SUM(D56:D60)</f>
        <v>0</v>
      </c>
      <c r="E61" s="4"/>
      <c r="F61" s="4"/>
      <c r="G61" s="21" t="s">
        <v>48</v>
      </c>
      <c r="H61" s="22">
        <f>IFERROR(SUM(G56:G60),0)</f>
        <v>0</v>
      </c>
      <c r="J61" s="4"/>
    </row>
    <row r="62" spans="2:12" ht="24.95" customHeight="1">
      <c r="B62" s="7" t="s">
        <v>49</v>
      </c>
    </row>
    <row r="63" spans="2:12" s="9" customFormat="1" ht="15" customHeight="1">
      <c r="B63" s="23" t="s">
        <v>50</v>
      </c>
      <c r="C63" s="24">
        <f>D61</f>
        <v>0</v>
      </c>
      <c r="D63" s="831" t="s">
        <v>51</v>
      </c>
      <c r="E63" s="832"/>
      <c r="F63" s="833" t="s">
        <v>52</v>
      </c>
      <c r="G63" s="836" t="s">
        <v>53</v>
      </c>
      <c r="H63" s="4"/>
      <c r="J63" s="4"/>
    </row>
    <row r="64" spans="2:12" s="9" customFormat="1" ht="15" customHeight="1">
      <c r="B64" s="23" t="s">
        <v>54</v>
      </c>
      <c r="C64" s="14">
        <v>0</v>
      </c>
      <c r="D64" s="831"/>
      <c r="E64" s="832"/>
      <c r="F64" s="834"/>
      <c r="G64" s="837" t="s">
        <v>53</v>
      </c>
      <c r="H64" s="4"/>
      <c r="J64" s="4"/>
      <c r="K64" s="25"/>
    </row>
    <row r="65" spans="2:11" s="9" customFormat="1" ht="15" customHeight="1">
      <c r="B65" s="26" t="s">
        <v>55</v>
      </c>
      <c r="C65" s="27">
        <f>C63+C64*0.6</f>
        <v>0</v>
      </c>
      <c r="D65" s="831"/>
      <c r="E65" s="832"/>
      <c r="F65" s="835"/>
      <c r="G65" s="838"/>
      <c r="H65" s="4"/>
      <c r="J65" s="4"/>
      <c r="K65" s="25"/>
    </row>
    <row r="66" spans="2:11" ht="15" customHeight="1">
      <c r="B66" s="23" t="s">
        <v>56</v>
      </c>
      <c r="C66" s="16">
        <f>IFERROR(C64/C63*100,0)</f>
        <v>0</v>
      </c>
      <c r="D66" s="839" t="s">
        <v>57</v>
      </c>
      <c r="E66" s="840"/>
      <c r="F66" s="16" t="str">
        <f>IF(C66&lt;=50,"1","0")</f>
        <v>1</v>
      </c>
      <c r="G66" s="16">
        <v>0</v>
      </c>
      <c r="I66" s="9"/>
      <c r="K66" s="25"/>
    </row>
    <row r="67" spans="2:11" ht="15" customHeight="1">
      <c r="B67" s="28"/>
      <c r="C67" s="29"/>
      <c r="D67" s="839" t="s">
        <v>58</v>
      </c>
      <c r="E67" s="840"/>
      <c r="F67" s="16" t="str">
        <f>IF(AND(C66&gt;50,C66&lt;=75),"1","0")</f>
        <v>0</v>
      </c>
      <c r="G67" s="16">
        <v>10</v>
      </c>
      <c r="I67" s="9"/>
      <c r="K67" s="25"/>
    </row>
    <row r="68" spans="2:11" ht="15" customHeight="1" thickBot="1">
      <c r="B68" s="482" t="s">
        <v>504</v>
      </c>
      <c r="C68" s="30"/>
      <c r="D68" s="839" t="s">
        <v>59</v>
      </c>
      <c r="E68" s="840"/>
      <c r="F68" s="16" t="str">
        <f>IF(AND(C66&gt;75,C66&lt;=100),"1","0")</f>
        <v>0</v>
      </c>
      <c r="G68" s="16">
        <v>20</v>
      </c>
      <c r="I68" s="9"/>
      <c r="K68" s="25"/>
    </row>
    <row r="69" spans="2:11" ht="15" customHeight="1" thickBot="1">
      <c r="B69" s="482" t="s">
        <v>506</v>
      </c>
      <c r="C69" s="30"/>
      <c r="D69" s="839" t="s">
        <v>60</v>
      </c>
      <c r="E69" s="840"/>
      <c r="F69" s="16" t="str">
        <f>IF(C66&gt;100,"1","0")</f>
        <v>0</v>
      </c>
      <c r="G69" s="31">
        <v>30</v>
      </c>
      <c r="H69" s="22">
        <f>IFERROR(F66*G66+F67*G67+F68*G68+F69*G69,0)</f>
        <v>0</v>
      </c>
      <c r="I69" s="9"/>
      <c r="K69" s="25"/>
    </row>
    <row r="70" spans="2:11" ht="24.95" customHeight="1">
      <c r="D70" s="482"/>
      <c r="I70" s="9"/>
      <c r="K70" s="25"/>
    </row>
    <row r="71" spans="2:11" ht="24.95" customHeight="1">
      <c r="B71" s="6" t="s">
        <v>257</v>
      </c>
      <c r="K71" s="32"/>
    </row>
    <row r="72" spans="2:11" ht="24.95" customHeight="1" thickBot="1">
      <c r="B72" s="7" t="s">
        <v>62</v>
      </c>
    </row>
    <row r="73" spans="2:11" s="12" customFormat="1" ht="15" customHeight="1" thickBot="1">
      <c r="B73" s="33" t="s">
        <v>63</v>
      </c>
      <c r="C73" s="34">
        <f>H69+H61</f>
        <v>0</v>
      </c>
      <c r="D73" s="35" t="s">
        <v>64</v>
      </c>
      <c r="E73" s="36" t="str">
        <f>ROMAN(H118)</f>
        <v>I</v>
      </c>
      <c r="F73" s="35" t="s">
        <v>65</v>
      </c>
      <c r="G73" s="37">
        <f>E119*D119+E120*D120+E121*D121+E122*D122+E123*D123+E124*D124+E125*D125+E126*D126+E127*D127+E128*D128+E129*D129</f>
        <v>0</v>
      </c>
      <c r="H73" s="4"/>
      <c r="K73" s="38"/>
    </row>
    <row r="74" spans="2:11" ht="15" customHeight="1">
      <c r="B74" s="39"/>
      <c r="K74" s="32"/>
    </row>
    <row r="75" spans="2:11" ht="15" customHeight="1">
      <c r="B75" s="40" t="s">
        <v>66</v>
      </c>
      <c r="C75" s="40" t="s">
        <v>67</v>
      </c>
      <c r="D75" s="40" t="s">
        <v>66</v>
      </c>
      <c r="E75" s="40" t="s">
        <v>67</v>
      </c>
    </row>
    <row r="76" spans="2:11" ht="15" customHeight="1">
      <c r="B76" s="41" t="s">
        <v>68</v>
      </c>
      <c r="C76" s="42" t="s">
        <v>69</v>
      </c>
      <c r="D76" s="41" t="s">
        <v>70</v>
      </c>
      <c r="E76" s="42" t="s">
        <v>71</v>
      </c>
    </row>
    <row r="77" spans="2:11" ht="15" customHeight="1">
      <c r="B77" s="41" t="s">
        <v>72</v>
      </c>
      <c r="C77" s="42" t="s">
        <v>73</v>
      </c>
      <c r="D77" s="41" t="s">
        <v>74</v>
      </c>
      <c r="E77" s="42" t="s">
        <v>75</v>
      </c>
    </row>
    <row r="78" spans="2:11" ht="15" customHeight="1">
      <c r="B78" s="41" t="s">
        <v>76</v>
      </c>
      <c r="C78" s="42" t="s">
        <v>77</v>
      </c>
      <c r="D78" s="41" t="s">
        <v>78</v>
      </c>
      <c r="E78" s="42" t="s">
        <v>79</v>
      </c>
    </row>
    <row r="79" spans="2:11" ht="15" customHeight="1">
      <c r="B79" s="41" t="s">
        <v>80</v>
      </c>
      <c r="C79" s="42" t="s">
        <v>81</v>
      </c>
      <c r="D79" s="41" t="s">
        <v>82</v>
      </c>
      <c r="E79" s="42" t="s">
        <v>83</v>
      </c>
    </row>
    <row r="80" spans="2:11" ht="15" customHeight="1">
      <c r="B80" s="41" t="s">
        <v>84</v>
      </c>
      <c r="C80" s="42" t="s">
        <v>85</v>
      </c>
      <c r="D80" s="41" t="s">
        <v>86</v>
      </c>
      <c r="E80" s="42" t="s">
        <v>87</v>
      </c>
    </row>
    <row r="81" spans="2:11" ht="15" customHeight="1">
      <c r="B81" s="41" t="s">
        <v>88</v>
      </c>
      <c r="C81" s="42" t="s">
        <v>89</v>
      </c>
      <c r="D81" s="28"/>
      <c r="E81" s="28"/>
      <c r="F81" s="43"/>
    </row>
    <row r="82" spans="2:11" ht="24.75" customHeight="1"/>
    <row r="83" spans="2:11" ht="24.75" customHeight="1">
      <c r="B83" s="6" t="s">
        <v>258</v>
      </c>
    </row>
    <row r="84" spans="2:11" ht="24.75" customHeight="1">
      <c r="B84" s="70" t="s">
        <v>113</v>
      </c>
      <c r="C84" s="71">
        <f>C49*(100+G73)/100</f>
        <v>0</v>
      </c>
      <c r="D84" s="72" t="s">
        <v>110</v>
      </c>
    </row>
    <row r="85" spans="2:11" ht="24.75" customHeight="1">
      <c r="B85" s="44" t="s">
        <v>114</v>
      </c>
      <c r="E85" s="73"/>
      <c r="G85" s="74"/>
    </row>
    <row r="86" spans="2:11" ht="24.75" customHeight="1">
      <c r="B86" s="75" t="s">
        <v>115</v>
      </c>
    </row>
    <row r="87" spans="2:11" ht="24.75" customHeight="1">
      <c r="B87" s="75" t="s">
        <v>116</v>
      </c>
    </row>
    <row r="88" spans="2:11" ht="24.75" customHeight="1" thickBot="1"/>
    <row r="89" spans="2:11" ht="24.75" customHeight="1">
      <c r="B89" s="76" t="s">
        <v>259</v>
      </c>
      <c r="C89" s="77"/>
      <c r="D89" s="77"/>
      <c r="E89" s="77"/>
      <c r="F89" s="78"/>
      <c r="G89" s="78"/>
      <c r="H89" s="79"/>
    </row>
    <row r="90" spans="2:11" ht="24.75" customHeight="1">
      <c r="B90" s="80" t="s">
        <v>118</v>
      </c>
      <c r="F90" s="81"/>
      <c r="G90" s="81"/>
      <c r="H90" s="82"/>
    </row>
    <row r="91" spans="2:11" s="44" customFormat="1" ht="24.75" customHeight="1">
      <c r="B91" s="83"/>
      <c r="F91" s="84"/>
      <c r="G91" s="70" t="s">
        <v>120</v>
      </c>
      <c r="H91" s="85">
        <f>H101</f>
        <v>0</v>
      </c>
    </row>
    <row r="92" spans="2:11" ht="24.75" customHeight="1">
      <c r="B92" s="86" t="s">
        <v>114</v>
      </c>
      <c r="H92" s="87"/>
      <c r="K92" s="88"/>
    </row>
    <row r="93" spans="2:11" ht="24.75" customHeight="1">
      <c r="B93" s="89" t="s">
        <v>121</v>
      </c>
      <c r="H93" s="87"/>
    </row>
    <row r="94" spans="2:11" ht="24.75" customHeight="1">
      <c r="B94" s="89" t="s">
        <v>122</v>
      </c>
      <c r="H94" s="90"/>
    </row>
    <row r="95" spans="2:11" ht="24.75" customHeight="1">
      <c r="B95" s="856" t="s">
        <v>123</v>
      </c>
      <c r="C95" s="857"/>
      <c r="D95" s="857"/>
      <c r="E95" s="857"/>
      <c r="F95" s="857"/>
      <c r="G95" s="857"/>
      <c r="H95" s="91"/>
    </row>
    <row r="96" spans="2:11" s="44" customFormat="1" ht="24.75" customHeight="1">
      <c r="B96" s="83"/>
      <c r="C96" s="92" t="s">
        <v>124</v>
      </c>
      <c r="D96" s="93" t="s">
        <v>125</v>
      </c>
      <c r="E96" s="70" t="s">
        <v>126</v>
      </c>
      <c r="F96" s="72">
        <f>IF(D96="SI",20,IF(D96="NO",H116))</f>
        <v>5</v>
      </c>
      <c r="G96" s="94">
        <v>0</v>
      </c>
      <c r="H96" s="95" t="s">
        <v>125</v>
      </c>
      <c r="J96" s="372"/>
    </row>
    <row r="97" spans="2:11" ht="24.75" customHeight="1">
      <c r="B97" s="89" t="s">
        <v>127</v>
      </c>
      <c r="C97" s="96"/>
      <c r="D97" s="96"/>
      <c r="E97" s="96"/>
      <c r="F97" s="97"/>
      <c r="G97" s="94">
        <v>35</v>
      </c>
      <c r="H97" s="95" t="s">
        <v>128</v>
      </c>
    </row>
    <row r="98" spans="2:11" ht="50.1" customHeight="1">
      <c r="B98" s="843" t="s">
        <v>557</v>
      </c>
      <c r="C98" s="919"/>
      <c r="D98" s="919"/>
      <c r="E98" s="919"/>
      <c r="F98" s="919"/>
      <c r="G98" s="920"/>
      <c r="H98" s="503" t="s">
        <v>125</v>
      </c>
    </row>
    <row r="99" spans="2:11" ht="24.75" customHeight="1" thickBot="1">
      <c r="B99" s="98"/>
      <c r="C99" s="99"/>
      <c r="D99" s="99"/>
      <c r="E99" s="99"/>
      <c r="F99" s="99"/>
      <c r="G99" s="99"/>
      <c r="H99" s="100"/>
    </row>
    <row r="100" spans="2:11" ht="30" customHeight="1" thickBot="1">
      <c r="B100" s="101"/>
      <c r="C100" s="102" t="s">
        <v>129</v>
      </c>
      <c r="D100" s="458">
        <f>IF(H98="SI",D102,IF(H98="NO",D101))</f>
        <v>0</v>
      </c>
      <c r="E100" s="103"/>
      <c r="F100" s="104"/>
      <c r="G100" s="105"/>
      <c r="H100" s="106"/>
      <c r="K100" s="107"/>
    </row>
    <row r="101" spans="2:11" s="108" customFormat="1" ht="24.75" hidden="1" customHeight="1">
      <c r="C101" s="109" t="s">
        <v>130</v>
      </c>
      <c r="D101" s="110">
        <f>(H91*C65*(1-0/100))</f>
        <v>0</v>
      </c>
      <c r="E101" s="111"/>
      <c r="G101" s="112"/>
      <c r="H101" s="113">
        <f>C84*F96/100</f>
        <v>0</v>
      </c>
      <c r="K101" s="114"/>
    </row>
    <row r="102" spans="2:11" s="108" customFormat="1" ht="24.75" hidden="1" customHeight="1">
      <c r="C102" s="109" t="s">
        <v>130</v>
      </c>
      <c r="D102" s="110">
        <f>(H91*C65*(1-0/100))*(1-G97/100)</f>
        <v>0</v>
      </c>
      <c r="E102" s="111"/>
      <c r="G102" s="112"/>
      <c r="H102" s="113"/>
      <c r="K102" s="114"/>
    </row>
    <row r="103" spans="2:11" s="108" customFormat="1" ht="24.75" customHeight="1">
      <c r="C103" s="109"/>
      <c r="D103" s="110"/>
      <c r="E103" s="111"/>
      <c r="G103" s="112"/>
      <c r="H103" s="194" t="s">
        <v>384</v>
      </c>
      <c r="K103" s="114"/>
    </row>
    <row r="104" spans="2:11" s="344" customFormat="1">
      <c r="B104" s="345" t="s">
        <v>131</v>
      </c>
    </row>
    <row r="105" spans="2:11" s="344" customFormat="1" ht="22.5" customHeight="1">
      <c r="B105" s="346" t="s">
        <v>132</v>
      </c>
      <c r="C105" s="346" t="s">
        <v>133</v>
      </c>
      <c r="D105" s="346" t="s">
        <v>52</v>
      </c>
    </row>
    <row r="106" spans="2:11" s="344" customFormat="1">
      <c r="B106" s="346" t="s">
        <v>134</v>
      </c>
      <c r="C106" s="346">
        <v>5</v>
      </c>
      <c r="D106" s="346" t="str">
        <f>IF(C84&lt;=500,"1","0")</f>
        <v>1</v>
      </c>
    </row>
    <row r="107" spans="2:11" s="344" customFormat="1">
      <c r="B107" s="346" t="s">
        <v>135</v>
      </c>
      <c r="C107" s="346">
        <v>6</v>
      </c>
      <c r="D107" s="346" t="str">
        <f>IF(AND(C84&gt;500,C84&lt;=1000),"1","0")</f>
        <v>0</v>
      </c>
    </row>
    <row r="108" spans="2:11" s="344" customFormat="1">
      <c r="B108" s="346" t="s">
        <v>136</v>
      </c>
      <c r="C108" s="346">
        <v>7</v>
      </c>
      <c r="D108" s="346" t="str">
        <f>IF(AND(C84&gt;1000,C84&lt;=1500),"1","0")</f>
        <v>0</v>
      </c>
    </row>
    <row r="109" spans="2:11" s="344" customFormat="1">
      <c r="B109" s="346" t="s">
        <v>137</v>
      </c>
      <c r="C109" s="346">
        <v>8</v>
      </c>
      <c r="D109" s="346" t="str">
        <f>IF(AND(C84&gt;1500,C84&lt;=2000),"1","0")</f>
        <v>0</v>
      </c>
    </row>
    <row r="110" spans="2:11" s="344" customFormat="1">
      <c r="B110" s="346" t="s">
        <v>138</v>
      </c>
      <c r="C110" s="346">
        <v>9</v>
      </c>
      <c r="D110" s="346" t="str">
        <f>IF(AND(C84&gt;2000,C84&lt;=2500),"1","0")</f>
        <v>0</v>
      </c>
    </row>
    <row r="111" spans="2:11" s="344" customFormat="1">
      <c r="B111" s="346" t="s">
        <v>139</v>
      </c>
      <c r="C111" s="346">
        <v>10</v>
      </c>
      <c r="D111" s="346" t="str">
        <f>IF(AND(C84&gt;2500,C84&lt;=3000),"1","0")</f>
        <v>0</v>
      </c>
    </row>
    <row r="112" spans="2:11" s="344" customFormat="1">
      <c r="B112" s="346" t="s">
        <v>140</v>
      </c>
      <c r="C112" s="346">
        <v>11</v>
      </c>
      <c r="D112" s="346" t="str">
        <f>IF(AND(C84&gt;3000,C84&lt;=3500),"1","0")</f>
        <v>0</v>
      </c>
    </row>
    <row r="113" spans="2:8" s="344" customFormat="1">
      <c r="B113" s="346" t="s">
        <v>141</v>
      </c>
      <c r="C113" s="346">
        <v>12</v>
      </c>
      <c r="D113" s="346" t="str">
        <f>IF(AND(C84&gt;3500,C84&lt;=4000),"1","0")</f>
        <v>0</v>
      </c>
    </row>
    <row r="114" spans="2:8" s="344" customFormat="1">
      <c r="B114" s="346" t="s">
        <v>142</v>
      </c>
      <c r="C114" s="346">
        <v>13</v>
      </c>
      <c r="D114" s="346" t="str">
        <f>IF(AND(C84&gt;4000,C84&lt;=4500),"1","0")</f>
        <v>0</v>
      </c>
    </row>
    <row r="115" spans="2:8" s="344" customFormat="1">
      <c r="B115" s="346" t="s">
        <v>143</v>
      </c>
      <c r="C115" s="346">
        <v>14</v>
      </c>
      <c r="D115" s="346" t="str">
        <f>IF(C84&gt;4500,"1","0")</f>
        <v>0</v>
      </c>
    </row>
    <row r="116" spans="2:8" s="344" customFormat="1">
      <c r="B116" s="347"/>
      <c r="C116" s="347"/>
      <c r="D116" s="347"/>
      <c r="G116" s="348" t="s">
        <v>126</v>
      </c>
      <c r="H116" s="348">
        <f>C106*D106+C107*D107+C108*D108+C109*D109+C110*D110+C111*D111+C112*D112+C113*D113+C114*D114+C115*D115</f>
        <v>5</v>
      </c>
    </row>
    <row r="117" spans="2:8" s="344" customFormat="1" ht="10.5" customHeight="1"/>
    <row r="118" spans="2:8" s="344" customFormat="1">
      <c r="B118" s="346" t="s">
        <v>66</v>
      </c>
      <c r="C118" s="346" t="s">
        <v>144</v>
      </c>
      <c r="D118" s="346" t="s">
        <v>145</v>
      </c>
      <c r="E118" s="346" t="s">
        <v>52</v>
      </c>
      <c r="G118" s="349" t="s">
        <v>64</v>
      </c>
      <c r="H118" s="348">
        <f>E119*C119+E120*C120+E121*C121+E122*C122+E123*C123+E124*C124+E125*C125+E126*C126+E127*C127+E128*C128+E129*C129</f>
        <v>1</v>
      </c>
    </row>
    <row r="119" spans="2:8" s="344" customFormat="1">
      <c r="B119" s="350" t="s">
        <v>68</v>
      </c>
      <c r="C119" s="351">
        <v>1</v>
      </c>
      <c r="D119" s="351">
        <v>0</v>
      </c>
      <c r="E119" s="351" t="str">
        <f>IF(C73&lt;=5,"1","0")</f>
        <v>1</v>
      </c>
      <c r="G119" s="349" t="s">
        <v>65</v>
      </c>
      <c r="H119" s="352">
        <f>E119*D119+E120*D120+E121*D121+E122*D122+E123*D123+E124*D124+E125*D125+E126*D126+E127*D127+E128*D128+E129*D129</f>
        <v>0</v>
      </c>
    </row>
    <row r="120" spans="2:8" s="344" customFormat="1">
      <c r="B120" s="350" t="s">
        <v>72</v>
      </c>
      <c r="C120" s="351">
        <v>2</v>
      </c>
      <c r="D120" s="351">
        <v>5</v>
      </c>
      <c r="E120" s="351" t="str">
        <f>IF(AND(C73&gt;5,C73&lt;=10),"1","0")</f>
        <v>0</v>
      </c>
    </row>
    <row r="121" spans="2:8" s="344" customFormat="1">
      <c r="B121" s="350" t="s">
        <v>76</v>
      </c>
      <c r="C121" s="351">
        <v>3</v>
      </c>
      <c r="D121" s="351">
        <v>10</v>
      </c>
      <c r="E121" s="351" t="str">
        <f>IF(AND(C73&gt;10,C73&lt;=15),"1","0")</f>
        <v>0</v>
      </c>
    </row>
    <row r="122" spans="2:8" s="344" customFormat="1">
      <c r="B122" s="350" t="s">
        <v>80</v>
      </c>
      <c r="C122" s="351">
        <v>4</v>
      </c>
      <c r="D122" s="351">
        <v>15</v>
      </c>
      <c r="E122" s="351" t="str">
        <f>IF(AND(C73&gt;15,C73&lt;=20),"1","0")</f>
        <v>0</v>
      </c>
    </row>
    <row r="123" spans="2:8" s="344" customFormat="1">
      <c r="B123" s="350" t="s">
        <v>84</v>
      </c>
      <c r="C123" s="351">
        <v>5</v>
      </c>
      <c r="D123" s="351">
        <v>20</v>
      </c>
      <c r="E123" s="351" t="str">
        <f>IF(AND(C73&gt;20,C73&lt;=25),"1","0")</f>
        <v>0</v>
      </c>
    </row>
    <row r="124" spans="2:8" s="344" customFormat="1">
      <c r="B124" s="350" t="s">
        <v>88</v>
      </c>
      <c r="C124" s="351">
        <v>6</v>
      </c>
      <c r="D124" s="351">
        <v>25</v>
      </c>
      <c r="E124" s="351" t="str">
        <f>IF(AND(C73&gt;25,C73&lt;=30),"1","0")</f>
        <v>0</v>
      </c>
    </row>
    <row r="125" spans="2:8" s="344" customFormat="1">
      <c r="B125" s="350" t="s">
        <v>70</v>
      </c>
      <c r="C125" s="351">
        <v>7</v>
      </c>
      <c r="D125" s="351">
        <v>30</v>
      </c>
      <c r="E125" s="351" t="str">
        <f>IF(AND(C73&gt;30,C73&lt;=35),"1","0")</f>
        <v>0</v>
      </c>
    </row>
    <row r="126" spans="2:8" s="344" customFormat="1">
      <c r="B126" s="350" t="s">
        <v>74</v>
      </c>
      <c r="C126" s="351">
        <v>8</v>
      </c>
      <c r="D126" s="351">
        <v>35</v>
      </c>
      <c r="E126" s="351" t="str">
        <f>IF(AND(C73&gt;35,C73&lt;=40),"1","0")</f>
        <v>0</v>
      </c>
    </row>
    <row r="127" spans="2:8" s="344" customFormat="1">
      <c r="B127" s="350" t="s">
        <v>78</v>
      </c>
      <c r="C127" s="351">
        <v>9</v>
      </c>
      <c r="D127" s="351">
        <v>40</v>
      </c>
      <c r="E127" s="351" t="str">
        <f>IF(AND(C73&gt;40,C73&lt;=45),"1","0")</f>
        <v>0</v>
      </c>
    </row>
    <row r="128" spans="2:8" s="344" customFormat="1">
      <c r="B128" s="350" t="s">
        <v>82</v>
      </c>
      <c r="C128" s="351">
        <v>10</v>
      </c>
      <c r="D128" s="351">
        <v>45</v>
      </c>
      <c r="E128" s="351" t="str">
        <f>IF(AND(C73&gt;45,C73&lt;=50),"1","0")</f>
        <v>0</v>
      </c>
    </row>
    <row r="129" spans="2:9" s="344" customFormat="1">
      <c r="B129" s="350" t="s">
        <v>86</v>
      </c>
      <c r="C129" s="351">
        <v>11</v>
      </c>
      <c r="D129" s="351">
        <v>50</v>
      </c>
      <c r="E129" s="351" t="str">
        <f>IF(C73&gt;50,"1","0")</f>
        <v>0</v>
      </c>
    </row>
    <row r="130" spans="2:9">
      <c r="E130" s="115"/>
      <c r="F130" s="115"/>
      <c r="G130" s="115"/>
      <c r="H130" s="115"/>
      <c r="I130" s="115"/>
    </row>
  </sheetData>
  <sheetProtection algorithmName="SHA-512" hashValue="xP3XHCKvkSO+UK28Op0CrOK7xqkLMzpgBUFFXb2xYDESgFqpyqauddYJJJ7ijzdiESCYeEhZe0eYYwa93SheuA==" saltValue="LAdFmY33IjN7DyOv001P4w==" spinCount="100000" sheet="1" objects="1" scenarios="1" selectLockedCells="1"/>
  <mergeCells count="32">
    <mergeCell ref="B98:G98"/>
    <mergeCell ref="G35:G37"/>
    <mergeCell ref="E39:F40"/>
    <mergeCell ref="G39:G40"/>
    <mergeCell ref="D63:E65"/>
    <mergeCell ref="F63:F65"/>
    <mergeCell ref="G63:G65"/>
    <mergeCell ref="D66:E66"/>
    <mergeCell ref="D67:E67"/>
    <mergeCell ref="D68:E68"/>
    <mergeCell ref="D69:E69"/>
    <mergeCell ref="B95:G95"/>
    <mergeCell ref="X14:AC14"/>
    <mergeCell ref="B15:C15"/>
    <mergeCell ref="E15:F15"/>
    <mergeCell ref="G15:I15"/>
    <mergeCell ref="G16:G18"/>
    <mergeCell ref="B17:C18"/>
    <mergeCell ref="B2:B4"/>
    <mergeCell ref="C2:H2"/>
    <mergeCell ref="C3:H3"/>
    <mergeCell ref="C4:H4"/>
    <mergeCell ref="B6:H6"/>
    <mergeCell ref="B12:P13"/>
    <mergeCell ref="H39:P39"/>
    <mergeCell ref="B31:P32"/>
    <mergeCell ref="H20:P20"/>
    <mergeCell ref="G34:I34"/>
    <mergeCell ref="E20:F20"/>
    <mergeCell ref="G20:G22"/>
    <mergeCell ref="B34:C34"/>
    <mergeCell ref="E34:F34"/>
  </mergeCells>
  <conditionalFormatting sqref="C23:C26">
    <cfRule type="expression" dxfId="23" priority="12">
      <formula>#REF!="errore o dati mancanti"</formula>
    </cfRule>
  </conditionalFormatting>
  <conditionalFormatting sqref="C39">
    <cfRule type="expression" dxfId="22" priority="13">
      <formula>$D$56="errore o dati mancanti"</formula>
    </cfRule>
  </conditionalFormatting>
  <conditionalFormatting sqref="F17">
    <cfRule type="expression" dxfId="21" priority="6">
      <formula>#REF!&lt;&gt;"errore o dati mancanti"</formula>
    </cfRule>
    <cfRule type="expression" dxfId="20" priority="7">
      <formula>#REF!="errore o dati mancanti"</formula>
    </cfRule>
  </conditionalFormatting>
  <conditionalFormatting sqref="F23:F26">
    <cfRule type="expression" dxfId="19" priority="1">
      <formula>#REF!&lt;&gt;"errore o dati mancanti"</formula>
    </cfRule>
    <cfRule type="expression" dxfId="18" priority="2">
      <formula>#REF!="errore o dati mancanti"</formula>
    </cfRule>
  </conditionalFormatting>
  <conditionalFormatting sqref="F41:F42">
    <cfRule type="expression" dxfId="17" priority="3">
      <formula>#REF!&lt;&gt;"Residenziale"</formula>
    </cfRule>
  </conditionalFormatting>
  <dataValidations count="6">
    <dataValidation type="list" allowBlank="1" showInputMessage="1" showErrorMessage="1" sqref="D96">
      <formula1>$H$96:$H$97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35">
      <formula1>$H$35:$H$37</formula1>
    </dataValidation>
    <dataValidation type="list" allowBlank="1" showInputMessage="1" showErrorMessage="1" sqref="F41:F42">
      <formula1>$H$40:$P$40</formula1>
    </dataValidation>
    <dataValidation type="list" allowBlank="1" showInputMessage="1" showErrorMessage="1" sqref="F21">
      <formula1>$H$21:$P$21</formula1>
    </dataValidation>
    <dataValidation type="list" allowBlank="1" showInputMessage="1" showErrorMessage="1" sqref="F22">
      <formula1>$I$21:$P$21</formula1>
    </dataValidation>
  </dataValidations>
  <hyperlinks>
    <hyperlink ref="C9" r:id="rId1"/>
    <hyperlink ref="C10" r:id="rId2"/>
    <hyperlink ref="C28" r:id="rId3"/>
    <hyperlink ref="C29" r:id="rId4"/>
  </hyperlinks>
  <pageMargins left="0.7" right="0.7" top="0.75" bottom="0.75" header="0.3" footer="0.3"/>
  <pageSetup paperSize="8" scale="44" orientation="portrait" horizontalDpi="1200" verticalDpi="1200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27"/>
  <sheetViews>
    <sheetView showGridLines="0" zoomScaleNormal="100" workbookViewId="0">
      <selection activeCell="C17" sqref="C17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6.7109375" style="4" customWidth="1"/>
    <col min="4" max="4" width="7.28515625" style="4" customWidth="1"/>
    <col min="5" max="5" width="25.7109375" style="4" customWidth="1"/>
    <col min="6" max="6" width="15.7109375" style="4" customWidth="1"/>
    <col min="7" max="7" width="14.5703125" style="4" customWidth="1"/>
    <col min="8" max="9" width="12.7109375" style="4" customWidth="1"/>
    <col min="10" max="10" width="16.5703125" style="4" customWidth="1"/>
    <col min="11" max="11" width="12.7109375" style="4" customWidth="1"/>
    <col min="12" max="12" width="12.7109375" style="12" customWidth="1"/>
    <col min="13" max="16" width="12.7109375" style="4" customWidth="1"/>
    <col min="17" max="17" width="5.7109375" style="4" customWidth="1"/>
    <col min="18" max="18" width="3.7109375" style="4" customWidth="1"/>
    <col min="19" max="19" width="10.7109375" style="4" customWidth="1"/>
    <col min="20" max="20" width="5.7109375" style="4" customWidth="1"/>
    <col min="21" max="21" width="25.7109375" style="4" customWidth="1"/>
    <col min="22" max="22" width="15.7109375" style="4" customWidth="1"/>
    <col min="23" max="23" width="12.7109375" style="4" customWidth="1"/>
    <col min="24" max="24" width="15.7109375" style="4" customWidth="1"/>
    <col min="25" max="16384" width="9.140625" style="4"/>
  </cols>
  <sheetData>
    <row r="1" spans="2:16" ht="13.5" thickBot="1"/>
    <row r="2" spans="2:16" ht="35.1" customHeight="1">
      <c r="B2" s="921" t="s">
        <v>343</v>
      </c>
      <c r="C2" s="924" t="s">
        <v>344</v>
      </c>
      <c r="D2" s="925"/>
      <c r="E2" s="925"/>
      <c r="F2" s="925"/>
      <c r="G2" s="925"/>
      <c r="H2" s="925"/>
      <c r="I2" s="925"/>
      <c r="J2" s="925"/>
      <c r="K2" s="926"/>
      <c r="L2" s="4"/>
    </row>
    <row r="3" spans="2:16" ht="35.1" customHeight="1">
      <c r="B3" s="922"/>
      <c r="C3" s="927" t="s">
        <v>395</v>
      </c>
      <c r="D3" s="928"/>
      <c r="E3" s="928"/>
      <c r="F3" s="928"/>
      <c r="G3" s="928"/>
      <c r="H3" s="928"/>
      <c r="I3" s="928"/>
      <c r="J3" s="928"/>
      <c r="K3" s="929"/>
      <c r="L3" s="4"/>
    </row>
    <row r="4" spans="2:16" ht="35.1" customHeight="1" thickBot="1">
      <c r="B4" s="923"/>
      <c r="C4" s="930" t="s">
        <v>512</v>
      </c>
      <c r="D4" s="931"/>
      <c r="E4" s="931"/>
      <c r="F4" s="931"/>
      <c r="G4" s="931"/>
      <c r="H4" s="931"/>
      <c r="I4" s="931"/>
      <c r="J4" s="931"/>
      <c r="K4" s="932"/>
      <c r="L4" s="4"/>
    </row>
    <row r="5" spans="2:16" ht="9.9499999999999993" customHeight="1">
      <c r="B5" s="322"/>
      <c r="C5" s="323"/>
      <c r="D5" s="323"/>
      <c r="E5" s="323"/>
      <c r="F5" s="323"/>
      <c r="G5" s="323"/>
      <c r="H5" s="323"/>
      <c r="I5" s="323"/>
      <c r="J5" s="323"/>
      <c r="K5" s="323"/>
      <c r="L5" s="4"/>
    </row>
    <row r="6" spans="2:16" ht="24.95" customHeight="1">
      <c r="B6" s="828" t="s">
        <v>24</v>
      </c>
      <c r="C6" s="862"/>
      <c r="D6" s="862"/>
      <c r="E6" s="862"/>
      <c r="F6" s="862"/>
      <c r="G6" s="862"/>
      <c r="H6" s="862"/>
      <c r="I6" s="862"/>
      <c r="J6" s="862"/>
      <c r="K6" s="863"/>
      <c r="L6" s="4"/>
    </row>
    <row r="8" spans="2:16" ht="24.75" customHeight="1">
      <c r="B8" s="6" t="s">
        <v>261</v>
      </c>
      <c r="H8" s="481" t="s">
        <v>623</v>
      </c>
      <c r="K8" s="32"/>
      <c r="L8" s="4"/>
    </row>
    <row r="9" spans="2:16" ht="24.75" customHeight="1">
      <c r="B9" s="48" t="s">
        <v>622</v>
      </c>
      <c r="C9" s="574" t="s">
        <v>91</v>
      </c>
      <c r="D9" s="564"/>
      <c r="E9" s="564"/>
      <c r="F9" s="564"/>
      <c r="H9" s="481" t="s">
        <v>625</v>
      </c>
      <c r="K9" s="32"/>
      <c r="L9" s="4"/>
    </row>
    <row r="10" spans="2:16" ht="24.75" customHeight="1">
      <c r="B10" s="48" t="s">
        <v>621</v>
      </c>
      <c r="C10" s="574" t="s">
        <v>620</v>
      </c>
      <c r="D10"/>
      <c r="E10"/>
      <c r="K10" s="32"/>
      <c r="L10" s="4"/>
    </row>
    <row r="11" spans="2:16" ht="15" customHeight="1">
      <c r="B11" s="45"/>
      <c r="C11" s="370"/>
      <c r="D11"/>
      <c r="E11"/>
      <c r="K11" s="32"/>
      <c r="L11" s="4"/>
    </row>
    <row r="12" spans="2:16" ht="24.75" customHeight="1">
      <c r="B12" s="903" t="s">
        <v>463</v>
      </c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5"/>
      <c r="N12" s="905"/>
      <c r="O12" s="905"/>
      <c r="P12" s="906"/>
    </row>
    <row r="13" spans="2:16" ht="24.75" customHeight="1">
      <c r="B13" s="907"/>
      <c r="C13" s="908"/>
      <c r="D13" s="908"/>
      <c r="E13" s="908"/>
      <c r="F13" s="908"/>
      <c r="G13" s="908"/>
      <c r="H13" s="908"/>
      <c r="I13" s="908"/>
      <c r="J13" s="908"/>
      <c r="K13" s="908"/>
      <c r="L13" s="908"/>
      <c r="M13" s="909"/>
      <c r="N13" s="909"/>
      <c r="O13" s="909"/>
      <c r="P13" s="910"/>
    </row>
    <row r="14" spans="2:16" ht="24.75" customHeight="1">
      <c r="B14" s="217"/>
      <c r="D14" s="44"/>
      <c r="E14" s="44"/>
      <c r="F14" s="46"/>
      <c r="G14" s="44"/>
      <c r="H14" s="44"/>
      <c r="I14" s="44"/>
      <c r="J14" s="44"/>
      <c r="K14" s="44"/>
      <c r="L14" s="44"/>
      <c r="P14" s="30"/>
    </row>
    <row r="15" spans="2:16" ht="24.75" customHeight="1">
      <c r="B15" s="654" t="s">
        <v>396</v>
      </c>
      <c r="C15" s="858"/>
      <c r="D15" s="47"/>
      <c r="E15" s="879" t="s">
        <v>457</v>
      </c>
      <c r="F15" s="880"/>
      <c r="G15" s="846" t="s">
        <v>93</v>
      </c>
      <c r="H15" s="847"/>
      <c r="I15" s="848"/>
      <c r="J15" s="48"/>
      <c r="K15" s="48"/>
      <c r="L15" s="48"/>
      <c r="P15" s="30"/>
    </row>
    <row r="16" spans="2:16" ht="24.75" customHeight="1">
      <c r="B16" s="49"/>
      <c r="C16" s="50"/>
      <c r="D16" s="47"/>
      <c r="E16" s="51" t="s">
        <v>94</v>
      </c>
      <c r="F16" s="52" t="s">
        <v>95</v>
      </c>
      <c r="G16" s="849" t="s">
        <v>96</v>
      </c>
      <c r="H16" s="53" t="s">
        <v>97</v>
      </c>
      <c r="I16" s="556">
        <f>'QCC (A)'!I43</f>
        <v>1</v>
      </c>
      <c r="J16" s="48"/>
      <c r="K16" s="546" t="s">
        <v>596</v>
      </c>
      <c r="L16" s="48"/>
      <c r="P16" s="30"/>
    </row>
    <row r="17" spans="2:19" ht="24.75" customHeight="1">
      <c r="B17" s="55" t="s">
        <v>98</v>
      </c>
      <c r="C17" s="56">
        <v>0</v>
      </c>
      <c r="D17" s="47"/>
      <c r="E17" s="376" t="s">
        <v>509</v>
      </c>
      <c r="F17" s="243">
        <f>IF(F16=H16,AVERAGE(C17:C18)*I16,IF(F16=H17,AVERAGE(C17:C18)*I17,IF(F16=H18,AVERAGE(C17:C18)*I18,"errore o dati mancanti")))</f>
        <v>0</v>
      </c>
      <c r="G17" s="850"/>
      <c r="H17" s="53" t="s">
        <v>95</v>
      </c>
      <c r="I17" s="556">
        <f>'QCC (A)'!I44</f>
        <v>1.3</v>
      </c>
      <c r="J17" s="48"/>
      <c r="K17" s="546" t="s">
        <v>597</v>
      </c>
      <c r="L17" s="48"/>
      <c r="P17" s="30"/>
    </row>
    <row r="18" spans="2:19" ht="24.75" customHeight="1">
      <c r="B18" s="55" t="s">
        <v>99</v>
      </c>
      <c r="C18" s="56">
        <v>0</v>
      </c>
      <c r="D18" s="222"/>
      <c r="E18" s="377" t="s">
        <v>510</v>
      </c>
      <c r="F18" s="58"/>
      <c r="G18" s="851"/>
      <c r="H18" s="59" t="s">
        <v>100</v>
      </c>
      <c r="I18" s="556">
        <f>'QCC (A)'!I45</f>
        <v>2</v>
      </c>
      <c r="J18" s="48"/>
      <c r="K18" s="546" t="s">
        <v>598</v>
      </c>
      <c r="L18" s="48"/>
      <c r="P18" s="30"/>
    </row>
    <row r="19" spans="2:19" ht="24.75" customHeight="1">
      <c r="B19" s="49"/>
      <c r="C19" s="50"/>
      <c r="D19" s="47"/>
      <c r="E19" s="60"/>
      <c r="F19" s="60"/>
      <c r="G19" s="48"/>
      <c r="H19" s="61"/>
      <c r="I19" s="48"/>
      <c r="J19" s="48"/>
      <c r="K19" s="48"/>
      <c r="L19" s="48"/>
      <c r="P19" s="30"/>
    </row>
    <row r="20" spans="2:19" ht="24.75" customHeight="1">
      <c r="B20" s="223" t="s">
        <v>253</v>
      </c>
      <c r="C20" s="63">
        <f>F24</f>
        <v>0</v>
      </c>
      <c r="D20" s="47"/>
      <c r="E20" s="852" t="s">
        <v>518</v>
      </c>
      <c r="F20" s="853"/>
      <c r="G20" s="849" t="s">
        <v>102</v>
      </c>
      <c r="H20" s="846" t="s">
        <v>532</v>
      </c>
      <c r="I20" s="847"/>
      <c r="J20" s="847"/>
      <c r="K20" s="847"/>
      <c r="L20" s="847"/>
      <c r="M20" s="860"/>
      <c r="N20" s="860"/>
      <c r="O20" s="860"/>
      <c r="P20" s="861"/>
    </row>
    <row r="21" spans="2:19" ht="24.75" customHeight="1">
      <c r="B21" s="69"/>
      <c r="C21" s="47"/>
      <c r="D21" s="47"/>
      <c r="E21" s="854"/>
      <c r="F21" s="855"/>
      <c r="G21" s="851"/>
      <c r="H21" s="64" t="s">
        <v>103</v>
      </c>
      <c r="I21" s="64" t="s">
        <v>104</v>
      </c>
      <c r="J21" s="64" t="s">
        <v>105</v>
      </c>
      <c r="K21" s="64" t="s">
        <v>106</v>
      </c>
      <c r="L21" s="64" t="s">
        <v>107</v>
      </c>
      <c r="M21" s="64" t="s">
        <v>582</v>
      </c>
      <c r="N21" s="64" t="s">
        <v>581</v>
      </c>
      <c r="O21" s="64" t="s">
        <v>579</v>
      </c>
      <c r="P21" s="64" t="s">
        <v>580</v>
      </c>
    </row>
    <row r="22" spans="2:19" ht="24.75" customHeight="1">
      <c r="B22" s="486" t="s">
        <v>382</v>
      </c>
      <c r="D22" s="47"/>
      <c r="E22" s="543" t="s">
        <v>108</v>
      </c>
      <c r="F22" s="542" t="s">
        <v>103</v>
      </c>
      <c r="G22" s="64" t="s">
        <v>103</v>
      </c>
      <c r="H22" s="54">
        <f>'QCC (A)'!H49</f>
        <v>1</v>
      </c>
      <c r="I22" s="541">
        <f>'QCC (A)'!I49</f>
        <v>0.81</v>
      </c>
      <c r="J22" s="541">
        <f>'QCC (A)'!J49</f>
        <v>1.49</v>
      </c>
      <c r="K22" s="541">
        <f>'QCC (A)'!K49</f>
        <v>0.84</v>
      </c>
      <c r="L22" s="541">
        <f>'QCC (A)'!L49</f>
        <v>1.0900000000000001</v>
      </c>
      <c r="M22" s="541">
        <f>'QCC (A)'!M49</f>
        <v>0.57999999999999996</v>
      </c>
      <c r="N22" s="541">
        <f>'QCC (A)'!N49</f>
        <v>0.55000000000000004</v>
      </c>
      <c r="O22" s="541">
        <f>'QCC (A)'!O49</f>
        <v>0.41</v>
      </c>
      <c r="P22" s="541">
        <f>'QCC (A)'!P49</f>
        <v>0.31</v>
      </c>
    </row>
    <row r="23" spans="2:19" ht="24.75" customHeight="1">
      <c r="B23" s="487" t="s">
        <v>383</v>
      </c>
      <c r="C23" s="67"/>
      <c r="D23" s="66"/>
      <c r="E23" s="544" t="s">
        <v>599</v>
      </c>
      <c r="F23" s="68" t="s">
        <v>103</v>
      </c>
      <c r="H23" s="7" t="s">
        <v>653</v>
      </c>
      <c r="L23" s="4"/>
      <c r="P23" s="30"/>
    </row>
    <row r="24" spans="2:19" ht="24.75" customHeight="1">
      <c r="B24" s="599" t="s">
        <v>478</v>
      </c>
      <c r="D24" s="66"/>
      <c r="F24" s="243">
        <f>IF(AND(F22=G22,F23=H21),F17*H22,IF(AND(F22=G22,F23=I21),F17*I22,IF(AND(F22=G22,F23=J21),F17*J22,IF(AND(F22=G22,F23=K21),F17*K22,IF(AND(F22=G22,F23=L21),F17*L22,IF(AND(F22=G22,F23=M21),F17*M22,IF(AND(F22=G22,F23=N21),F17*N22,IF(AND(F22=G22,F23=O21),F17*O22,IF(AND(F22=G22,F23=P21),F17*P22,IF(AND(F22=F23),F17*1,"errore o dati mancanti"))))))))))</f>
        <v>0</v>
      </c>
      <c r="H24" s="4" t="s">
        <v>654</v>
      </c>
      <c r="L24" s="4"/>
      <c r="P24" s="30"/>
    </row>
    <row r="25" spans="2:19" ht="24.75" customHeight="1">
      <c r="B25" s="599" t="s">
        <v>583</v>
      </c>
      <c r="C25" s="47"/>
      <c r="D25" s="47"/>
      <c r="E25" s="600" t="s">
        <v>656</v>
      </c>
      <c r="F25" s="60"/>
      <c r="H25" s="4" t="s">
        <v>655</v>
      </c>
      <c r="L25" s="4"/>
      <c r="P25" s="30"/>
    </row>
    <row r="26" spans="2:19" ht="24.75" customHeight="1">
      <c r="B26" s="224"/>
      <c r="C26" s="225"/>
      <c r="D26" s="225"/>
      <c r="E26" s="601" t="s">
        <v>657</v>
      </c>
      <c r="F26" s="58"/>
      <c r="G26" s="233"/>
      <c r="H26" s="233"/>
      <c r="I26" s="233"/>
      <c r="J26" s="233"/>
      <c r="K26" s="233"/>
      <c r="L26" s="233"/>
      <c r="M26" s="233"/>
      <c r="N26" s="233"/>
      <c r="O26" s="233"/>
      <c r="P26" s="234"/>
    </row>
    <row r="27" spans="2:19" ht="24.75" customHeight="1">
      <c r="B27" s="47"/>
      <c r="C27" s="47"/>
      <c r="D27" s="47"/>
      <c r="E27" s="226"/>
      <c r="F27" s="60"/>
      <c r="G27" s="227"/>
      <c r="H27" s="126"/>
      <c r="I27" s="126"/>
      <c r="J27" s="126"/>
      <c r="K27" s="126"/>
      <c r="L27" s="126"/>
    </row>
    <row r="28" spans="2:19" ht="24.75" customHeight="1">
      <c r="B28" s="6" t="s">
        <v>345</v>
      </c>
      <c r="K28" s="32"/>
      <c r="L28" s="4"/>
      <c r="S28" s="492"/>
    </row>
    <row r="29" spans="2:19" ht="24.75" customHeight="1">
      <c r="B29" s="48" t="s">
        <v>622</v>
      </c>
      <c r="C29" s="574" t="s">
        <v>91</v>
      </c>
      <c r="D29" s="564"/>
      <c r="E29" s="564"/>
      <c r="F29" s="564"/>
      <c r="K29" s="32"/>
      <c r="L29" s="4"/>
      <c r="S29" s="492"/>
    </row>
    <row r="30" spans="2:19" ht="24.75" customHeight="1">
      <c r="B30" s="48" t="s">
        <v>621</v>
      </c>
      <c r="C30" s="574" t="s">
        <v>620</v>
      </c>
      <c r="D30"/>
      <c r="E30"/>
      <c r="K30" s="32"/>
      <c r="L30" s="4"/>
      <c r="S30" s="492"/>
    </row>
    <row r="31" spans="2:19" ht="15" customHeight="1">
      <c r="B31" s="45"/>
      <c r="C31" s="370"/>
      <c r="D31"/>
      <c r="E31"/>
      <c r="K31" s="32"/>
      <c r="L31" s="4"/>
      <c r="S31" s="492"/>
    </row>
    <row r="32" spans="2:19" ht="24.75" customHeight="1">
      <c r="B32" s="903" t="s">
        <v>464</v>
      </c>
      <c r="C32" s="904"/>
      <c r="D32" s="904"/>
      <c r="E32" s="904"/>
      <c r="F32" s="904"/>
      <c r="G32" s="904"/>
      <c r="H32" s="904"/>
      <c r="I32" s="904"/>
      <c r="J32" s="904"/>
      <c r="K32" s="904"/>
      <c r="L32" s="904"/>
      <c r="M32" s="905"/>
      <c r="N32" s="905"/>
      <c r="O32" s="905"/>
      <c r="P32" s="906"/>
      <c r="S32" s="492" t="s">
        <v>548</v>
      </c>
    </row>
    <row r="33" spans="2:30" ht="24.75" customHeight="1" thickBot="1">
      <c r="B33" s="907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9"/>
      <c r="N33" s="909"/>
      <c r="O33" s="909"/>
      <c r="P33" s="910"/>
      <c r="S33" s="44"/>
    </row>
    <row r="34" spans="2:30" ht="24.75" customHeight="1" thickBot="1">
      <c r="B34" s="217"/>
      <c r="L34" s="4"/>
      <c r="P34" s="30"/>
      <c r="S34" s="493" t="s">
        <v>521</v>
      </c>
      <c r="T34" s="494" t="s">
        <v>1</v>
      </c>
      <c r="U34" s="495" t="s">
        <v>522</v>
      </c>
      <c r="V34" s="496" t="e">
        <f>(U35*U36*U37*1000)/U38</f>
        <v>#DIV/0!</v>
      </c>
      <c r="W34" s="497"/>
      <c r="X34" s="508" t="e">
        <f>V34/0.475</f>
        <v>#DIV/0!</v>
      </c>
      <c r="Y34" s="889"/>
      <c r="Z34" s="890"/>
      <c r="AA34" s="890"/>
      <c r="AB34" s="890"/>
      <c r="AC34" s="890"/>
      <c r="AD34" s="890"/>
    </row>
    <row r="35" spans="2:30" ht="24.75" customHeight="1">
      <c r="B35" s="654" t="s">
        <v>397</v>
      </c>
      <c r="C35" s="858"/>
      <c r="D35" s="44"/>
      <c r="E35" s="879" t="s">
        <v>457</v>
      </c>
      <c r="F35" s="880"/>
      <c r="G35" s="846" t="s">
        <v>93</v>
      </c>
      <c r="H35" s="847"/>
      <c r="I35" s="848"/>
      <c r="J35" s="162"/>
      <c r="K35" s="163"/>
      <c r="L35" s="162"/>
      <c r="P35" s="30"/>
      <c r="S35" s="162" t="s">
        <v>433</v>
      </c>
      <c r="T35" s="162" t="s">
        <v>1</v>
      </c>
      <c r="U35" s="498">
        <v>0</v>
      </c>
      <c r="V35" s="499" t="s">
        <v>524</v>
      </c>
    </row>
    <row r="36" spans="2:30" ht="24.75" customHeight="1">
      <c r="B36" s="3"/>
      <c r="C36" s="164"/>
      <c r="D36" s="44"/>
      <c r="E36" s="130" t="s">
        <v>94</v>
      </c>
      <c r="F36" s="165" t="s">
        <v>95</v>
      </c>
      <c r="G36" s="849" t="s">
        <v>96</v>
      </c>
      <c r="H36" s="166" t="s">
        <v>97</v>
      </c>
      <c r="I36" s="557">
        <f>'QCC (A)'!I43</f>
        <v>1</v>
      </c>
      <c r="J36" s="162"/>
      <c r="K36" s="546" t="s">
        <v>596</v>
      </c>
      <c r="L36" s="162"/>
      <c r="P36" s="30"/>
      <c r="S36" s="162" t="s">
        <v>525</v>
      </c>
      <c r="T36" s="162" t="s">
        <v>1</v>
      </c>
      <c r="U36" s="617">
        <v>0.41170000000000001</v>
      </c>
      <c r="V36" s="499" t="s">
        <v>526</v>
      </c>
      <c r="AA36" s="618"/>
      <c r="AB36" s="619"/>
      <c r="AC36" s="618"/>
      <c r="AD36" s="618"/>
    </row>
    <row r="37" spans="2:30" ht="24.75" customHeight="1">
      <c r="B37" s="891" t="s">
        <v>658</v>
      </c>
      <c r="C37" s="892"/>
      <c r="D37" s="44"/>
      <c r="E37" s="376" t="s">
        <v>509</v>
      </c>
      <c r="F37" s="246">
        <f>IF(F36=H36,AVERAGE(C40:C41)*I36,IF(F36=H37,AVERAGE(C40:C41)*I37,IF(F36=H38,AVERAGE(C40:C41)*I38,"errore o dati mancanti")))</f>
        <v>0</v>
      </c>
      <c r="G37" s="850"/>
      <c r="H37" s="166" t="s">
        <v>95</v>
      </c>
      <c r="I37" s="557">
        <f>'QCC (A)'!I44</f>
        <v>1.3</v>
      </c>
      <c r="J37" s="162"/>
      <c r="K37" s="546" t="s">
        <v>597</v>
      </c>
      <c r="L37" s="162"/>
      <c r="P37" s="30"/>
      <c r="S37" s="162" t="s">
        <v>527</v>
      </c>
      <c r="T37" s="162" t="s">
        <v>1</v>
      </c>
      <c r="U37" s="620">
        <v>117.15</v>
      </c>
      <c r="V37" s="499" t="s">
        <v>675</v>
      </c>
      <c r="AA37" s="621"/>
      <c r="AB37" s="622"/>
      <c r="AC37" s="618"/>
      <c r="AD37" s="618"/>
    </row>
    <row r="38" spans="2:30" ht="24.75" customHeight="1">
      <c r="B38" s="893"/>
      <c r="C38" s="894"/>
      <c r="D38" s="229"/>
      <c r="E38" s="377" t="s">
        <v>510</v>
      </c>
      <c r="F38" s="169"/>
      <c r="G38" s="851"/>
      <c r="H38" s="230" t="s">
        <v>100</v>
      </c>
      <c r="I38" s="557">
        <f>'QCC (A)'!I45</f>
        <v>2</v>
      </c>
      <c r="J38" s="162"/>
      <c r="K38" s="546" t="s">
        <v>598</v>
      </c>
      <c r="L38" s="162"/>
      <c r="P38" s="30"/>
      <c r="S38" s="162" t="s">
        <v>528</v>
      </c>
      <c r="T38" s="162" t="s">
        <v>1</v>
      </c>
      <c r="U38" s="500">
        <v>0</v>
      </c>
      <c r="V38" s="499" t="s">
        <v>529</v>
      </c>
    </row>
    <row r="39" spans="2:30" ht="24.75" customHeight="1">
      <c r="B39" s="49"/>
      <c r="C39" s="170"/>
      <c r="D39" s="44"/>
      <c r="E39" s="171"/>
      <c r="F39" s="171"/>
      <c r="G39" s="162"/>
      <c r="H39" s="231"/>
      <c r="I39" s="162"/>
      <c r="J39" s="162"/>
      <c r="K39" s="162"/>
      <c r="L39" s="162"/>
      <c r="P39" s="30"/>
      <c r="U39" s="501" t="s">
        <v>530</v>
      </c>
      <c r="V39" s="502" t="s">
        <v>676</v>
      </c>
    </row>
    <row r="40" spans="2:30" ht="24.75" customHeight="1">
      <c r="B40" s="55" t="s">
        <v>184</v>
      </c>
      <c r="C40" s="56">
        <v>0</v>
      </c>
      <c r="D40" s="44"/>
      <c r="E40" s="654" t="s">
        <v>185</v>
      </c>
      <c r="F40" s="859"/>
      <c r="G40" s="849" t="s">
        <v>186</v>
      </c>
      <c r="H40" s="846" t="s">
        <v>187</v>
      </c>
      <c r="I40" s="847"/>
      <c r="J40" s="847"/>
      <c r="K40" s="847"/>
      <c r="L40" s="847"/>
      <c r="M40" s="847"/>
      <c r="N40" s="847"/>
      <c r="O40" s="847"/>
      <c r="P40" s="848"/>
      <c r="V40" s="502" t="s">
        <v>677</v>
      </c>
    </row>
    <row r="41" spans="2:30" ht="24.75" customHeight="1">
      <c r="B41" s="55" t="s">
        <v>189</v>
      </c>
      <c r="C41" s="56">
        <v>0</v>
      </c>
      <c r="D41" s="44"/>
      <c r="E41" s="539" t="s">
        <v>190</v>
      </c>
      <c r="F41" s="172" t="s">
        <v>191</v>
      </c>
      <c r="G41" s="850"/>
      <c r="H41" s="533" t="s">
        <v>192</v>
      </c>
      <c r="I41" s="533" t="s">
        <v>191</v>
      </c>
      <c r="J41" s="533" t="s">
        <v>193</v>
      </c>
      <c r="K41" s="533" t="s">
        <v>194</v>
      </c>
      <c r="L41" s="533" t="s">
        <v>595</v>
      </c>
      <c r="M41" s="533" t="s">
        <v>584</v>
      </c>
      <c r="N41" s="533" t="s">
        <v>585</v>
      </c>
      <c r="O41" s="533" t="s">
        <v>460</v>
      </c>
      <c r="P41" s="533" t="s">
        <v>459</v>
      </c>
    </row>
    <row r="42" spans="2:30" ht="24.75" customHeight="1">
      <c r="B42" s="55"/>
      <c r="C42" s="472" t="s">
        <v>385</v>
      </c>
      <c r="D42" s="44"/>
      <c r="E42" s="540" t="s">
        <v>465</v>
      </c>
      <c r="F42" s="172" t="s">
        <v>191</v>
      </c>
      <c r="G42" s="851"/>
      <c r="H42" s="228">
        <f>'QCC (C)'!T15</f>
        <v>1</v>
      </c>
      <c r="I42" s="532">
        <f>'QCC (C)'!U15</f>
        <v>0.87</v>
      </c>
      <c r="J42" s="532">
        <f>'QCC (C)'!V15</f>
        <v>1.28</v>
      </c>
      <c r="K42" s="532">
        <f>'QCC (C)'!W15</f>
        <v>0.87</v>
      </c>
      <c r="L42" s="532">
        <f>'QCC (C)'!X15</f>
        <v>1.01</v>
      </c>
      <c r="M42" s="532">
        <f>'QCC (C)'!Y15</f>
        <v>0.36</v>
      </c>
      <c r="N42" s="532">
        <f>'QCC (C)'!Z15</f>
        <v>0.35</v>
      </c>
      <c r="O42" s="532">
        <f>'QCC (C)'!AA15</f>
        <v>0.44</v>
      </c>
      <c r="P42" s="532">
        <f>'QCC (C)'!AB15</f>
        <v>0.51</v>
      </c>
    </row>
    <row r="43" spans="2:30" ht="24.75" customHeight="1">
      <c r="B43" s="223" t="s">
        <v>254</v>
      </c>
      <c r="C43" s="173">
        <f>F43</f>
        <v>0</v>
      </c>
      <c r="D43" s="232"/>
      <c r="E43" s="552" t="s">
        <v>478</v>
      </c>
      <c r="F43" s="538">
        <f>IF(AND(F41=I41,F42=I41),F37*H42,IF(AND(F41=J41,F42=J41),F37*H42,IF(AND(F41=K41,F42=K41),F37*H42,IF(AND(F41=M41,F42=M41),F37*H42,IF(AND(F41=N41,F42=N41),F37*H42,IF(AND(F41=O41,F42=O41),F37*H42,IF(AND(F41=H41,F42=I41),F37*I42,IF(AND(F41=H41,F42=J41),F37*J42,IF(AND(F41=H41,F42=K41),F37*K42,IF(AND(F41=H41,F42=M41),F37*M42,IF(AND(F41=H41,F42=N41),F37*N42,IF(AND(F41=H41,F42=O41),F37*O42,IF(AND(F41=H41,F42=P41),F37*P42,IF(AND(F41=H41,F42=L41),F37*L42,IF(AND(F41=F42),F37*1,"errore/dati mancanti")))))))))))))))</f>
        <v>0</v>
      </c>
      <c r="G43" s="199"/>
      <c r="H43" s="555"/>
      <c r="I43" s="199"/>
      <c r="J43" s="199"/>
      <c r="K43" s="199"/>
      <c r="L43" s="199"/>
      <c r="M43" s="199"/>
      <c r="N43" s="199"/>
      <c r="O43" s="199"/>
      <c r="P43" s="553"/>
    </row>
    <row r="44" spans="2:30" ht="24.75" customHeight="1">
      <c r="H44" s="546"/>
      <c r="N44" s="44"/>
      <c r="O44" s="44"/>
      <c r="P44" s="44"/>
      <c r="Q44" s="44"/>
    </row>
    <row r="45" spans="2:30" ht="24.75" customHeight="1">
      <c r="B45" s="6" t="s">
        <v>256</v>
      </c>
      <c r="H45" s="546"/>
      <c r="N45" s="44"/>
      <c r="O45" s="44"/>
      <c r="P45" s="44"/>
      <c r="Q45" s="44"/>
    </row>
    <row r="46" spans="2:30" ht="15" customHeight="1">
      <c r="B46" s="6"/>
      <c r="N46" s="44"/>
      <c r="O46" s="44"/>
      <c r="P46" s="44"/>
      <c r="Q46" s="44"/>
    </row>
    <row r="47" spans="2:30" ht="24.75" customHeight="1">
      <c r="B47" s="235" t="s">
        <v>252</v>
      </c>
      <c r="C47" s="236">
        <f>IF((C43-C20)*0.475&lt;0,0,(C43-C20)*0.475)</f>
        <v>0</v>
      </c>
      <c r="D47" s="47"/>
      <c r="E47" s="226"/>
      <c r="F47" s="60"/>
      <c r="G47" s="227"/>
      <c r="H47" s="126"/>
      <c r="I47" s="126"/>
      <c r="J47" s="126"/>
      <c r="K47" s="126"/>
      <c r="L47" s="126"/>
    </row>
    <row r="48" spans="2:30" ht="24.75" customHeight="1" thickBot="1"/>
    <row r="49" spans="2:32" s="12" customFormat="1" ht="24.75" customHeight="1">
      <c r="B49" s="76" t="s">
        <v>262</v>
      </c>
      <c r="C49" s="77"/>
      <c r="D49" s="77"/>
      <c r="E49" s="77"/>
      <c r="F49" s="77"/>
      <c r="G49" s="77"/>
      <c r="H49" s="77"/>
      <c r="I49" s="77"/>
      <c r="J49" s="77"/>
      <c r="K49" s="135"/>
      <c r="N49" s="184"/>
      <c r="O49" s="184"/>
      <c r="P49" s="184"/>
      <c r="Q49" s="18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2:32" s="12" customFormat="1" ht="24.75" customHeight="1">
      <c r="B50" s="883" t="s">
        <v>188</v>
      </c>
      <c r="C50" s="884"/>
      <c r="D50" s="884"/>
      <c r="E50" s="884"/>
      <c r="F50" s="884"/>
      <c r="G50" s="884"/>
      <c r="H50" s="884"/>
      <c r="I50" s="884"/>
      <c r="J50" s="4"/>
      <c r="K50" s="8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2:32">
      <c r="B51" s="86" t="s">
        <v>114</v>
      </c>
      <c r="E51" s="481" t="s">
        <v>505</v>
      </c>
      <c r="K51" s="87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2:32">
      <c r="B52" s="89" t="s">
        <v>168</v>
      </c>
      <c r="K52" s="87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2:32" ht="24.75" customHeight="1">
      <c r="B53" s="479" t="s">
        <v>503</v>
      </c>
      <c r="C53" s="74"/>
      <c r="D53" s="92" t="s">
        <v>171</v>
      </c>
      <c r="E53" s="500">
        <v>0</v>
      </c>
      <c r="F53" s="92" t="s">
        <v>172</v>
      </c>
      <c r="G53" s="500">
        <v>0</v>
      </c>
      <c r="H53" s="237"/>
      <c r="I53" s="141" t="s">
        <v>196</v>
      </c>
      <c r="J53" s="174">
        <f>E53+0.6*G53</f>
        <v>0</v>
      </c>
      <c r="K53" s="87"/>
      <c r="L53" s="188"/>
      <c r="M53" s="188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2:32" ht="24.75" customHeight="1">
      <c r="B54" s="89"/>
      <c r="C54" s="74"/>
      <c r="D54" s="92"/>
      <c r="F54" s="92"/>
      <c r="G54" s="237"/>
      <c r="H54" s="70"/>
      <c r="I54" s="176"/>
      <c r="K54" s="238"/>
      <c r="L54" s="4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30" customHeight="1">
      <c r="B55" s="885" t="s">
        <v>197</v>
      </c>
      <c r="C55" s="844"/>
      <c r="D55" s="844"/>
      <c r="E55" s="844"/>
      <c r="F55" s="844"/>
      <c r="G55" s="844"/>
      <c r="H55" s="844"/>
      <c r="I55" s="177">
        <f>HLOOKUP(K55,B63:T64,2,0)</f>
        <v>7</v>
      </c>
      <c r="J55" s="342" t="s">
        <v>223</v>
      </c>
      <c r="K55" s="179" t="s">
        <v>202</v>
      </c>
      <c r="L55" s="4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2:32" ht="9.9499999999999993" customHeight="1">
      <c r="B56" s="180"/>
      <c r="C56" s="181"/>
      <c r="D56" s="181"/>
      <c r="E56" s="181"/>
      <c r="F56" s="181"/>
      <c r="G56" s="181"/>
      <c r="H56" s="181"/>
      <c r="I56" s="92"/>
      <c r="J56" s="92"/>
      <c r="K56" s="175"/>
      <c r="L56" s="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2:32" ht="30" customHeight="1">
      <c r="B57" s="843" t="s">
        <v>557</v>
      </c>
      <c r="C57" s="919"/>
      <c r="D57" s="919"/>
      <c r="E57" s="919"/>
      <c r="F57" s="919"/>
      <c r="G57" s="919"/>
      <c r="H57" s="919"/>
      <c r="I57" s="919"/>
      <c r="J57" s="933"/>
      <c r="K57" s="503" t="s">
        <v>125</v>
      </c>
      <c r="L57" s="4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2:32" ht="24.75" customHeight="1" thickBot="1">
      <c r="B58" s="145"/>
      <c r="C58" s="146"/>
      <c r="D58" s="146"/>
      <c r="E58" s="146"/>
      <c r="F58" s="146"/>
      <c r="G58" s="146"/>
      <c r="H58" s="182" t="s">
        <v>125</v>
      </c>
      <c r="I58" s="182" t="s">
        <v>128</v>
      </c>
      <c r="J58" s="182">
        <v>0</v>
      </c>
      <c r="K58" s="183">
        <v>35</v>
      </c>
      <c r="L58" s="4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2:32" ht="30" customHeight="1" thickBot="1">
      <c r="B59" s="101"/>
      <c r="C59" s="149"/>
      <c r="D59" s="102" t="s">
        <v>200</v>
      </c>
      <c r="E59" s="239">
        <f>IF(K57="SI",E60,IF(K57="NO",E61))</f>
        <v>0</v>
      </c>
      <c r="F59" s="103"/>
      <c r="G59" s="149"/>
      <c r="H59" s="149"/>
      <c r="I59" s="149"/>
      <c r="J59" s="149"/>
      <c r="K59" s="150"/>
      <c r="L59" s="4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2:32" ht="24.75" hidden="1" customHeight="1">
      <c r="B60" s="108"/>
      <c r="C60" s="108"/>
      <c r="D60" s="109" t="s">
        <v>201</v>
      </c>
      <c r="E60" s="109">
        <f>C47*J53*I55/100*(1-K58/100)</f>
        <v>0</v>
      </c>
      <c r="F60" s="111" t="s">
        <v>178</v>
      </c>
      <c r="G60" s="12"/>
      <c r="H60" s="12"/>
      <c r="I60" s="12"/>
      <c r="J60" s="12"/>
      <c r="K60" s="12"/>
      <c r="L60" s="4"/>
    </row>
    <row r="61" spans="2:32" s="186" customFormat="1" ht="24.75" hidden="1" customHeight="1">
      <c r="B61" s="108"/>
      <c r="C61" s="108"/>
      <c r="D61" s="109" t="s">
        <v>201</v>
      </c>
      <c r="E61" s="109">
        <f>C47*J53*I55/100*(1-J58/100)</f>
        <v>0</v>
      </c>
      <c r="F61" s="111" t="s">
        <v>178</v>
      </c>
      <c r="G61" s="12"/>
      <c r="H61" s="12"/>
      <c r="I61" s="12"/>
      <c r="J61" s="12"/>
      <c r="K61" s="1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2:32" s="187" customFormat="1" ht="24.75" hidden="1" customHeight="1"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2:32" ht="24.75" hidden="1" customHeight="1">
      <c r="B63" s="185" t="s">
        <v>202</v>
      </c>
      <c r="C63" s="185" t="s">
        <v>203</v>
      </c>
      <c r="D63" s="185" t="s">
        <v>199</v>
      </c>
      <c r="E63" s="185" t="s">
        <v>204</v>
      </c>
      <c r="F63" s="185" t="s">
        <v>205</v>
      </c>
      <c r="G63" s="185" t="s">
        <v>206</v>
      </c>
      <c r="H63" s="185" t="s">
        <v>207</v>
      </c>
      <c r="I63" s="185" t="s">
        <v>208</v>
      </c>
      <c r="J63" s="186" t="s">
        <v>209</v>
      </c>
      <c r="K63" s="186" t="s">
        <v>210</v>
      </c>
      <c r="L63" s="186" t="s">
        <v>211</v>
      </c>
      <c r="M63" s="186" t="s">
        <v>212</v>
      </c>
      <c r="N63" s="186" t="s">
        <v>213</v>
      </c>
      <c r="O63" s="186"/>
      <c r="P63" s="186"/>
      <c r="Q63" s="186" t="s">
        <v>214</v>
      </c>
      <c r="R63" s="186" t="s">
        <v>215</v>
      </c>
      <c r="S63" s="186" t="s">
        <v>462</v>
      </c>
      <c r="T63" s="186" t="s">
        <v>216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2:32" ht="24.75" hidden="1" customHeight="1">
      <c r="B64" s="187">
        <v>7</v>
      </c>
      <c r="C64" s="187">
        <v>7</v>
      </c>
      <c r="D64" s="187">
        <v>7</v>
      </c>
      <c r="E64" s="187">
        <v>7</v>
      </c>
      <c r="F64" s="187">
        <v>7</v>
      </c>
      <c r="G64" s="187">
        <v>10</v>
      </c>
      <c r="H64" s="187">
        <v>10</v>
      </c>
      <c r="I64" s="187">
        <v>10</v>
      </c>
      <c r="J64" s="187">
        <v>7</v>
      </c>
      <c r="K64" s="187">
        <v>7</v>
      </c>
      <c r="L64" s="187">
        <v>7</v>
      </c>
      <c r="M64" s="187">
        <v>7</v>
      </c>
      <c r="N64" s="187">
        <v>7</v>
      </c>
      <c r="O64" s="187"/>
      <c r="P64" s="187"/>
      <c r="Q64" s="187">
        <v>7</v>
      </c>
      <c r="R64" s="187">
        <v>7</v>
      </c>
      <c r="S64" s="187">
        <v>7</v>
      </c>
      <c r="T64" s="187">
        <v>7</v>
      </c>
    </row>
    <row r="65" spans="11:32" ht="22.5" customHeight="1">
      <c r="K65" s="194" t="s">
        <v>384</v>
      </c>
    </row>
    <row r="71" spans="11:32"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89" spans="19:32"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</row>
    <row r="94" spans="19:32"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</row>
    <row r="99" spans="19:32"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</row>
    <row r="100" spans="19:32"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</row>
    <row r="101" spans="19:32"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</row>
    <row r="102" spans="19:32">
      <c r="S102" s="344"/>
      <c r="T102" s="344"/>
      <c r="U102" s="344"/>
      <c r="V102" s="344"/>
      <c r="W102" s="344"/>
      <c r="X102" s="344"/>
      <c r="Y102" s="344"/>
      <c r="Z102" s="344"/>
      <c r="AA102" s="344"/>
      <c r="AB102" s="344"/>
      <c r="AC102" s="344"/>
      <c r="AD102" s="344"/>
      <c r="AE102" s="344"/>
      <c r="AF102" s="344"/>
    </row>
    <row r="103" spans="19:32">
      <c r="S103" s="344"/>
      <c r="T103" s="344"/>
      <c r="U103" s="344"/>
      <c r="V103" s="344"/>
      <c r="W103" s="344"/>
      <c r="X103" s="344"/>
      <c r="Y103" s="344"/>
      <c r="Z103" s="344"/>
      <c r="AA103" s="344"/>
      <c r="AB103" s="344"/>
      <c r="AC103" s="344"/>
      <c r="AD103" s="344"/>
      <c r="AE103" s="344"/>
      <c r="AF103" s="344"/>
    </row>
    <row r="104" spans="19:32">
      <c r="S104" s="344"/>
      <c r="T104" s="344"/>
      <c r="U104" s="344"/>
      <c r="V104" s="344"/>
      <c r="W104" s="344"/>
      <c r="X104" s="344"/>
      <c r="Y104" s="344"/>
      <c r="Z104" s="344"/>
      <c r="AA104" s="344"/>
      <c r="AB104" s="344"/>
      <c r="AC104" s="344"/>
      <c r="AD104" s="344"/>
      <c r="AE104" s="344"/>
      <c r="AF104" s="344"/>
    </row>
    <row r="105" spans="19:32">
      <c r="S105" s="344"/>
      <c r="T105" s="344"/>
      <c r="U105" s="344"/>
      <c r="V105" s="344"/>
      <c r="W105" s="344"/>
      <c r="X105" s="344"/>
      <c r="Y105" s="344"/>
      <c r="Z105" s="344"/>
      <c r="AA105" s="344"/>
      <c r="AB105" s="344"/>
      <c r="AC105" s="344"/>
      <c r="AD105" s="344"/>
      <c r="AE105" s="344"/>
      <c r="AF105" s="344"/>
    </row>
    <row r="106" spans="19:32">
      <c r="S106" s="344"/>
      <c r="T106" s="344"/>
      <c r="U106" s="344"/>
      <c r="V106" s="344"/>
      <c r="W106" s="344"/>
      <c r="X106" s="344"/>
      <c r="Y106" s="344"/>
      <c r="Z106" s="344"/>
      <c r="AA106" s="344"/>
      <c r="AB106" s="344"/>
      <c r="AC106" s="344"/>
      <c r="AD106" s="344"/>
      <c r="AE106" s="344"/>
      <c r="AF106" s="344"/>
    </row>
    <row r="107" spans="19:32">
      <c r="S107" s="344"/>
      <c r="T107" s="344"/>
      <c r="U107" s="344"/>
      <c r="V107" s="344"/>
      <c r="W107" s="344"/>
      <c r="X107" s="344"/>
      <c r="Y107" s="344"/>
      <c r="Z107" s="344"/>
      <c r="AA107" s="344"/>
      <c r="AB107" s="344"/>
      <c r="AC107" s="344"/>
      <c r="AD107" s="344"/>
      <c r="AE107" s="344"/>
      <c r="AF107" s="344"/>
    </row>
    <row r="108" spans="19:32">
      <c r="S108" s="344"/>
      <c r="T108" s="344"/>
      <c r="U108" s="344"/>
      <c r="V108" s="344"/>
      <c r="W108" s="344"/>
      <c r="X108" s="344"/>
      <c r="Y108" s="344"/>
      <c r="Z108" s="344"/>
      <c r="AA108" s="344"/>
      <c r="AB108" s="344"/>
      <c r="AC108" s="344"/>
      <c r="AD108" s="344"/>
      <c r="AE108" s="344"/>
      <c r="AF108" s="344"/>
    </row>
    <row r="109" spans="19:32"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344"/>
      <c r="AD109" s="344"/>
      <c r="AE109" s="344"/>
      <c r="AF109" s="344"/>
    </row>
    <row r="110" spans="19:32">
      <c r="S110" s="344"/>
      <c r="T110" s="344"/>
      <c r="U110" s="344"/>
      <c r="V110" s="344"/>
      <c r="W110" s="344"/>
      <c r="X110" s="344"/>
      <c r="Y110" s="344"/>
      <c r="Z110" s="344"/>
      <c r="AA110" s="344"/>
      <c r="AB110" s="344"/>
      <c r="AC110" s="344"/>
      <c r="AD110" s="344"/>
      <c r="AE110" s="344"/>
      <c r="AF110" s="344"/>
    </row>
    <row r="111" spans="19:32">
      <c r="S111" s="344"/>
      <c r="T111" s="344"/>
      <c r="U111" s="344"/>
      <c r="V111" s="344"/>
      <c r="W111" s="344"/>
      <c r="X111" s="344"/>
      <c r="Y111" s="344"/>
      <c r="Z111" s="344"/>
      <c r="AA111" s="344"/>
      <c r="AB111" s="344"/>
      <c r="AC111" s="344"/>
      <c r="AD111" s="344"/>
      <c r="AE111" s="344"/>
      <c r="AF111" s="344"/>
    </row>
    <row r="112" spans="19:32">
      <c r="S112" s="344"/>
      <c r="T112" s="344"/>
      <c r="U112" s="344"/>
      <c r="V112" s="344"/>
      <c r="W112" s="344"/>
      <c r="X112" s="344"/>
      <c r="Y112" s="344"/>
      <c r="Z112" s="344"/>
      <c r="AA112" s="344"/>
      <c r="AB112" s="344"/>
      <c r="AC112" s="344"/>
      <c r="AD112" s="344"/>
      <c r="AE112" s="344"/>
      <c r="AF112" s="344"/>
    </row>
    <row r="113" spans="19:32">
      <c r="S113" s="344"/>
      <c r="T113" s="344"/>
      <c r="U113" s="344"/>
      <c r="V113" s="344"/>
      <c r="W113" s="344"/>
      <c r="X113" s="344"/>
      <c r="Y113" s="344"/>
      <c r="Z113" s="344"/>
      <c r="AA113" s="344"/>
      <c r="AB113" s="344"/>
      <c r="AC113" s="344"/>
      <c r="AD113" s="344"/>
      <c r="AE113" s="344"/>
      <c r="AF113" s="344"/>
    </row>
    <row r="114" spans="19:32">
      <c r="S114" s="344"/>
      <c r="T114" s="344"/>
      <c r="U114" s="344"/>
      <c r="V114" s="344"/>
      <c r="W114" s="344"/>
      <c r="X114" s="344"/>
      <c r="Y114" s="344"/>
      <c r="Z114" s="344"/>
      <c r="AA114" s="344"/>
      <c r="AB114" s="344"/>
      <c r="AC114" s="344"/>
      <c r="AD114" s="344"/>
      <c r="AE114" s="344"/>
      <c r="AF114" s="344"/>
    </row>
    <row r="115" spans="19:32">
      <c r="S115" s="344"/>
      <c r="T115" s="344"/>
      <c r="U115" s="344"/>
      <c r="V115" s="344"/>
      <c r="W115" s="344"/>
      <c r="X115" s="344"/>
      <c r="Y115" s="344"/>
      <c r="Z115" s="344"/>
      <c r="AA115" s="344"/>
      <c r="AB115" s="344"/>
      <c r="AC115" s="344"/>
      <c r="AD115" s="344"/>
      <c r="AE115" s="344"/>
      <c r="AF115" s="344"/>
    </row>
    <row r="116" spans="19:32">
      <c r="S116" s="344"/>
      <c r="T116" s="344"/>
      <c r="U116" s="344"/>
      <c r="V116" s="344"/>
      <c r="W116" s="344"/>
      <c r="X116" s="344"/>
      <c r="Y116" s="344"/>
      <c r="Z116" s="344"/>
      <c r="AA116" s="344"/>
      <c r="AB116" s="344"/>
      <c r="AC116" s="344"/>
      <c r="AD116" s="344"/>
      <c r="AE116" s="344"/>
      <c r="AF116" s="344"/>
    </row>
    <row r="117" spans="19:32">
      <c r="S117" s="344"/>
      <c r="T117" s="344"/>
      <c r="U117" s="344"/>
      <c r="V117" s="344"/>
      <c r="W117" s="344"/>
      <c r="X117" s="344"/>
      <c r="Y117" s="344"/>
      <c r="Z117" s="344"/>
      <c r="AA117" s="344"/>
      <c r="AB117" s="344"/>
      <c r="AC117" s="344"/>
      <c r="AD117" s="344"/>
      <c r="AE117" s="344"/>
      <c r="AF117" s="344"/>
    </row>
    <row r="118" spans="19:32">
      <c r="S118" s="344"/>
      <c r="T118" s="344"/>
      <c r="U118" s="344"/>
      <c r="V118" s="344"/>
      <c r="W118" s="344"/>
      <c r="X118" s="344"/>
      <c r="Y118" s="344"/>
      <c r="Z118" s="344"/>
      <c r="AA118" s="344"/>
      <c r="AB118" s="344"/>
      <c r="AC118" s="344"/>
      <c r="AD118" s="344"/>
      <c r="AE118" s="344"/>
      <c r="AF118" s="344"/>
    </row>
    <row r="119" spans="19:32"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44"/>
      <c r="AD119" s="344"/>
      <c r="AE119" s="344"/>
      <c r="AF119" s="344"/>
    </row>
    <row r="120" spans="19:32">
      <c r="S120" s="344"/>
      <c r="T120" s="344"/>
      <c r="U120" s="344"/>
      <c r="V120" s="344"/>
      <c r="W120" s="344"/>
      <c r="X120" s="344"/>
      <c r="Y120" s="344"/>
      <c r="Z120" s="344"/>
      <c r="AA120" s="344"/>
      <c r="AB120" s="344"/>
      <c r="AC120" s="344"/>
      <c r="AD120" s="344"/>
      <c r="AE120" s="344"/>
      <c r="AF120" s="344"/>
    </row>
    <row r="121" spans="19:32">
      <c r="S121" s="344"/>
      <c r="T121" s="344"/>
      <c r="U121" s="344"/>
      <c r="V121" s="344"/>
      <c r="W121" s="344"/>
      <c r="X121" s="344"/>
      <c r="Y121" s="344"/>
      <c r="Z121" s="344"/>
      <c r="AA121" s="344"/>
      <c r="AB121" s="344"/>
      <c r="AC121" s="344"/>
      <c r="AD121" s="344"/>
      <c r="AE121" s="344"/>
      <c r="AF121" s="344"/>
    </row>
    <row r="122" spans="19:32">
      <c r="S122" s="344"/>
      <c r="T122" s="344"/>
      <c r="U122" s="344"/>
      <c r="V122" s="344"/>
      <c r="W122" s="344"/>
      <c r="X122" s="344"/>
      <c r="Y122" s="344"/>
      <c r="Z122" s="344"/>
      <c r="AA122" s="344"/>
      <c r="AB122" s="344"/>
      <c r="AC122" s="344"/>
      <c r="AD122" s="344"/>
      <c r="AE122" s="344"/>
      <c r="AF122" s="344"/>
    </row>
    <row r="123" spans="19:32">
      <c r="S123" s="344"/>
      <c r="T123" s="344"/>
      <c r="U123" s="344"/>
      <c r="V123" s="344"/>
      <c r="W123" s="344"/>
      <c r="X123" s="344"/>
      <c r="Y123" s="344"/>
      <c r="Z123" s="344"/>
      <c r="AA123" s="344"/>
      <c r="AB123" s="344"/>
      <c r="AC123" s="344"/>
      <c r="AD123" s="344"/>
      <c r="AE123" s="344"/>
      <c r="AF123" s="344"/>
    </row>
    <row r="124" spans="19:32">
      <c r="S124" s="344"/>
      <c r="T124" s="344"/>
      <c r="U124" s="344"/>
      <c r="V124" s="344"/>
      <c r="W124" s="344"/>
      <c r="X124" s="344"/>
      <c r="Y124" s="344"/>
      <c r="Z124" s="344"/>
      <c r="AA124" s="344"/>
      <c r="AB124" s="344"/>
      <c r="AC124" s="344"/>
      <c r="AD124" s="344"/>
      <c r="AE124" s="344"/>
      <c r="AF124" s="344"/>
    </row>
    <row r="125" spans="19:32">
      <c r="S125" s="344"/>
      <c r="T125" s="344"/>
      <c r="U125" s="344"/>
      <c r="V125" s="344"/>
      <c r="W125" s="344"/>
      <c r="X125" s="344"/>
      <c r="Y125" s="344"/>
      <c r="Z125" s="344"/>
      <c r="AA125" s="344"/>
      <c r="AB125" s="344"/>
      <c r="AC125" s="344"/>
      <c r="AD125" s="344"/>
      <c r="AE125" s="344"/>
      <c r="AF125" s="344"/>
    </row>
    <row r="126" spans="19:32">
      <c r="S126" s="344"/>
      <c r="T126" s="344"/>
      <c r="U126" s="344"/>
      <c r="V126" s="344"/>
      <c r="W126" s="344"/>
      <c r="X126" s="344"/>
      <c r="Y126" s="344"/>
      <c r="Z126" s="344"/>
      <c r="AA126" s="344"/>
      <c r="AB126" s="344"/>
      <c r="AC126" s="344"/>
      <c r="AD126" s="344"/>
      <c r="AE126" s="344"/>
      <c r="AF126" s="344"/>
    </row>
    <row r="127" spans="19:32">
      <c r="S127" s="344"/>
      <c r="T127" s="344"/>
      <c r="U127" s="344"/>
      <c r="V127" s="344"/>
      <c r="W127" s="344"/>
      <c r="X127" s="344"/>
      <c r="Y127" s="344"/>
      <c r="Z127" s="344"/>
      <c r="AA127" s="344"/>
      <c r="AB127" s="344"/>
      <c r="AC127" s="344"/>
      <c r="AD127" s="344"/>
      <c r="AE127" s="344"/>
      <c r="AF127" s="344"/>
    </row>
  </sheetData>
  <sheetProtection algorithmName="SHA-512" hashValue="aNDg7UX17iOW+5PxOOjM2uQwhu4jcBZa+Tv+YXjQi5EbJT7n0aYR6KPI61I1diGaSJ/T7P4akiEn2cSs0dYgZw==" saltValue="KkyyEkMNrYHvAnKpumPi6Q==" spinCount="100000" sheet="1" objects="1" scenarios="1" selectLockedCells="1"/>
  <mergeCells count="26">
    <mergeCell ref="B55:H55"/>
    <mergeCell ref="B57:J57"/>
    <mergeCell ref="G36:G38"/>
    <mergeCell ref="B37:C38"/>
    <mergeCell ref="E40:F40"/>
    <mergeCell ref="G40:G42"/>
    <mergeCell ref="B50:I50"/>
    <mergeCell ref="H40:P40"/>
    <mergeCell ref="Y34:AD34"/>
    <mergeCell ref="B35:C35"/>
    <mergeCell ref="E35:F35"/>
    <mergeCell ref="G35:I35"/>
    <mergeCell ref="B32:P33"/>
    <mergeCell ref="E20:F21"/>
    <mergeCell ref="G20:G21"/>
    <mergeCell ref="B2:B4"/>
    <mergeCell ref="C2:K2"/>
    <mergeCell ref="C3:K3"/>
    <mergeCell ref="C4:K4"/>
    <mergeCell ref="B6:K6"/>
    <mergeCell ref="B15:C15"/>
    <mergeCell ref="E15:F15"/>
    <mergeCell ref="G15:I15"/>
    <mergeCell ref="G16:G18"/>
    <mergeCell ref="H20:P20"/>
    <mergeCell ref="B12:P13"/>
  </mergeCells>
  <conditionalFormatting sqref="C20">
    <cfRule type="expression" dxfId="16" priority="18">
      <formula>$D$53="errore o dati mancanti"</formula>
    </cfRule>
  </conditionalFormatting>
  <conditionalFormatting sqref="C43">
    <cfRule type="expression" dxfId="15" priority="12">
      <formula>#REF!="errore o dati mancanti"</formula>
    </cfRule>
  </conditionalFormatting>
  <conditionalFormatting sqref="F22:F23">
    <cfRule type="expression" dxfId="14" priority="5">
      <formula>#REF!&lt;&gt;"Residenziale"</formula>
    </cfRule>
  </conditionalFormatting>
  <conditionalFormatting sqref="F37">
    <cfRule type="expression" dxfId="13" priority="8">
      <formula>#REF!&lt;&gt;"errore o dati mancanti"</formula>
    </cfRule>
    <cfRule type="expression" dxfId="12" priority="9">
      <formula>#REF!="errore o dati mancanti"</formula>
    </cfRule>
  </conditionalFormatting>
  <conditionalFormatting sqref="F43">
    <cfRule type="expression" dxfId="11" priority="1">
      <formula>#REF!&lt;&gt;"errore o dati mancanti"</formula>
    </cfRule>
    <cfRule type="expression" dxfId="10" priority="2">
      <formula>#REF!="errore o dati mancanti"</formula>
    </cfRule>
  </conditionalFormatting>
  <dataValidations count="5">
    <dataValidation type="list" allowBlank="1" showInputMessage="1" showErrorMessage="1" sqref="K55">
      <formula1>$B$63:$T$63</formula1>
    </dataValidation>
    <dataValidation type="list" allowBlank="1" showInputMessage="1" showErrorMessage="1" sqref="F16 F36">
      <formula1>$H$16:$H$18</formula1>
    </dataValidation>
    <dataValidation type="list" allowBlank="1" showInputMessage="1" showErrorMessage="1" sqref="F22:F23">
      <formula1>$H$21:$P$21</formula1>
    </dataValidation>
    <dataValidation type="list" allowBlank="1" showInputMessage="1" showErrorMessage="1" sqref="F41">
      <formula1>$H$41:$P$41</formula1>
    </dataValidation>
    <dataValidation type="list" allowBlank="1" showInputMessage="1" showErrorMessage="1" sqref="F42">
      <formula1>$I$41:$P$41</formula1>
    </dataValidation>
  </dataValidations>
  <hyperlinks>
    <hyperlink ref="C29" r:id="rId1"/>
    <hyperlink ref="C30" r:id="rId2"/>
    <hyperlink ref="C9" r:id="rId3"/>
    <hyperlink ref="C10" r:id="rId4"/>
  </hyperlinks>
  <pageMargins left="0.7" right="0.7" top="0.75" bottom="0.75" header="0.3" footer="0.3"/>
  <pageSetup paperSize="8" scale="64" orientation="portrait" horizontalDpi="1200" verticalDpi="1200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66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3.85546875" style="4" customWidth="1"/>
    <col min="4" max="4" width="7.28515625" style="4" customWidth="1"/>
    <col min="5" max="5" width="25.7109375" style="4" customWidth="1"/>
    <col min="6" max="6" width="15.7109375" style="4" customWidth="1"/>
    <col min="7" max="9" width="12.7109375" style="4" customWidth="1"/>
    <col min="10" max="10" width="16.5703125" style="4" customWidth="1"/>
    <col min="11" max="11" width="12.7109375" style="4" customWidth="1"/>
    <col min="12" max="12" width="12.7109375" style="12" customWidth="1"/>
    <col min="13" max="16" width="12.7109375" style="4" customWidth="1"/>
    <col min="17" max="17" width="5.7109375" style="4" customWidth="1"/>
    <col min="18" max="18" width="3.7109375" style="4" customWidth="1"/>
    <col min="19" max="19" width="10.7109375" style="4" customWidth="1"/>
    <col min="20" max="20" width="5.7109375" style="4" customWidth="1"/>
    <col min="21" max="21" width="25.7109375" style="4" customWidth="1"/>
    <col min="22" max="22" width="15.7109375" style="4" customWidth="1"/>
    <col min="23" max="23" width="12.7109375" style="4" customWidth="1"/>
    <col min="24" max="24" width="15.7109375" style="4" customWidth="1"/>
    <col min="25" max="26" width="12.7109375" style="4" customWidth="1"/>
    <col min="27" max="16384" width="9.140625" style="4"/>
  </cols>
  <sheetData>
    <row r="1" spans="2:30" ht="13.5" thickBot="1"/>
    <row r="2" spans="2:30" ht="35.1" customHeight="1">
      <c r="B2" s="921" t="s">
        <v>346</v>
      </c>
      <c r="C2" s="924" t="s">
        <v>387</v>
      </c>
      <c r="D2" s="925"/>
      <c r="E2" s="925"/>
      <c r="F2" s="925"/>
      <c r="G2" s="925"/>
      <c r="H2" s="925"/>
      <c r="I2" s="925"/>
      <c r="J2" s="925"/>
      <c r="K2" s="926"/>
      <c r="L2" s="4"/>
    </row>
    <row r="3" spans="2:30" ht="35.1" customHeight="1">
      <c r="B3" s="922"/>
      <c r="C3" s="927" t="s">
        <v>395</v>
      </c>
      <c r="D3" s="928"/>
      <c r="E3" s="928"/>
      <c r="F3" s="928"/>
      <c r="G3" s="928"/>
      <c r="H3" s="928"/>
      <c r="I3" s="928"/>
      <c r="J3" s="928"/>
      <c r="K3" s="929"/>
      <c r="L3" s="4"/>
    </row>
    <row r="4" spans="2:30" ht="35.1" customHeight="1" thickBot="1">
      <c r="B4" s="923"/>
      <c r="C4" s="930" t="s">
        <v>512</v>
      </c>
      <c r="D4" s="931"/>
      <c r="E4" s="931"/>
      <c r="F4" s="931"/>
      <c r="G4" s="931"/>
      <c r="H4" s="931"/>
      <c r="I4" s="931"/>
      <c r="J4" s="931"/>
      <c r="K4" s="932"/>
      <c r="L4" s="4"/>
    </row>
    <row r="5" spans="2:30" ht="9.9499999999999993" customHeight="1">
      <c r="B5" s="322"/>
      <c r="C5" s="323"/>
      <c r="D5" s="323"/>
      <c r="E5" s="323"/>
      <c r="F5" s="323"/>
      <c r="G5" s="323"/>
      <c r="H5" s="323"/>
      <c r="I5" s="323"/>
      <c r="J5" s="323"/>
      <c r="K5" s="323"/>
      <c r="L5" s="4"/>
    </row>
    <row r="6" spans="2:30" ht="24.95" customHeight="1">
      <c r="B6" s="828" t="s">
        <v>24</v>
      </c>
      <c r="C6" s="862"/>
      <c r="D6" s="862"/>
      <c r="E6" s="862"/>
      <c r="F6" s="862"/>
      <c r="G6" s="862"/>
      <c r="H6" s="862"/>
      <c r="I6" s="862"/>
      <c r="J6" s="862"/>
      <c r="K6" s="863"/>
      <c r="L6" s="4"/>
    </row>
    <row r="7" spans="2:30" ht="24.75" customHeight="1">
      <c r="B7" s="218"/>
      <c r="C7" s="219"/>
      <c r="D7" s="219"/>
      <c r="E7" s="219"/>
      <c r="F7" s="219"/>
      <c r="G7" s="219"/>
      <c r="H7" s="220"/>
      <c r="I7" s="220"/>
      <c r="J7" s="220"/>
      <c r="K7" s="221"/>
    </row>
    <row r="8" spans="2:30" ht="24.75" customHeight="1">
      <c r="B8" s="6" t="s">
        <v>347</v>
      </c>
      <c r="H8" s="481" t="s">
        <v>623</v>
      </c>
      <c r="K8" s="32"/>
      <c r="L8" s="4"/>
    </row>
    <row r="9" spans="2:30" ht="24.75" customHeight="1">
      <c r="B9" s="48" t="s">
        <v>622</v>
      </c>
      <c r="C9" s="574" t="s">
        <v>91</v>
      </c>
      <c r="D9" s="564"/>
      <c r="E9" s="564"/>
      <c r="F9" s="564"/>
      <c r="H9" s="481" t="s">
        <v>625</v>
      </c>
      <c r="K9" s="32"/>
      <c r="L9" s="4"/>
    </row>
    <row r="10" spans="2:30" ht="24.75" customHeight="1">
      <c r="B10" s="48" t="s">
        <v>621</v>
      </c>
      <c r="C10" s="574" t="s">
        <v>620</v>
      </c>
      <c r="D10"/>
      <c r="E10"/>
      <c r="K10" s="32"/>
      <c r="L10" s="4"/>
    </row>
    <row r="11" spans="2:30" ht="15" customHeight="1">
      <c r="B11" s="45"/>
      <c r="C11" s="370"/>
      <c r="D11"/>
      <c r="E11"/>
      <c r="K11" s="32"/>
      <c r="L11" s="4"/>
    </row>
    <row r="12" spans="2:30" ht="24.75" customHeight="1">
      <c r="B12" s="903" t="s">
        <v>464</v>
      </c>
      <c r="C12" s="934"/>
      <c r="D12" s="934"/>
      <c r="E12" s="934"/>
      <c r="F12" s="934"/>
      <c r="G12" s="934"/>
      <c r="H12" s="934"/>
      <c r="I12" s="934"/>
      <c r="J12" s="934"/>
      <c r="K12" s="934"/>
      <c r="L12" s="934"/>
      <c r="M12" s="934"/>
      <c r="N12" s="934"/>
      <c r="O12" s="934"/>
      <c r="P12" s="935"/>
      <c r="S12" s="492" t="s">
        <v>548</v>
      </c>
    </row>
    <row r="13" spans="2:30" ht="24.75" customHeight="1" thickBot="1">
      <c r="B13" s="936"/>
      <c r="C13" s="937"/>
      <c r="D13" s="937"/>
      <c r="E13" s="937"/>
      <c r="F13" s="937"/>
      <c r="G13" s="937"/>
      <c r="H13" s="937"/>
      <c r="I13" s="937"/>
      <c r="J13" s="937"/>
      <c r="K13" s="937"/>
      <c r="L13" s="937"/>
      <c r="M13" s="937"/>
      <c r="N13" s="937"/>
      <c r="O13" s="937"/>
      <c r="P13" s="938"/>
      <c r="S13" s="44"/>
    </row>
    <row r="14" spans="2:30" ht="24.75" customHeight="1" thickBot="1">
      <c r="B14" s="217"/>
      <c r="L14" s="4"/>
      <c r="P14" s="30"/>
      <c r="S14" s="493" t="s">
        <v>253</v>
      </c>
      <c r="T14" s="494" t="s">
        <v>1</v>
      </c>
      <c r="U14" s="495" t="s">
        <v>522</v>
      </c>
      <c r="V14" s="496" t="e">
        <f>(U15*U16*U17*1000)/U18</f>
        <v>#DIV/0!</v>
      </c>
      <c r="W14" s="497"/>
      <c r="X14" s="508" t="e">
        <f>V14/0.475</f>
        <v>#DIV/0!</v>
      </c>
      <c r="Y14" s="889"/>
      <c r="Z14" s="890"/>
      <c r="AA14" s="890"/>
      <c r="AB14" s="890"/>
      <c r="AC14" s="890"/>
      <c r="AD14" s="890"/>
    </row>
    <row r="15" spans="2:30" ht="24.75" customHeight="1">
      <c r="B15" s="654" t="s">
        <v>396</v>
      </c>
      <c r="C15" s="859"/>
      <c r="D15" s="44"/>
      <c r="E15" s="654" t="s">
        <v>92</v>
      </c>
      <c r="F15" s="859"/>
      <c r="G15" s="846" t="s">
        <v>93</v>
      </c>
      <c r="H15" s="847"/>
      <c r="I15" s="848"/>
      <c r="J15" s="162"/>
      <c r="K15" s="163"/>
      <c r="L15" s="162"/>
      <c r="P15" s="30"/>
      <c r="S15" s="162" t="s">
        <v>433</v>
      </c>
      <c r="T15" s="162" t="s">
        <v>1</v>
      </c>
      <c r="U15" s="498">
        <v>0</v>
      </c>
      <c r="V15" s="499" t="s">
        <v>524</v>
      </c>
    </row>
    <row r="16" spans="2:30" ht="24.75" customHeight="1">
      <c r="B16" s="3"/>
      <c r="C16" s="164"/>
      <c r="D16" s="44"/>
      <c r="E16" s="51" t="s">
        <v>94</v>
      </c>
      <c r="F16" s="165" t="s">
        <v>95</v>
      </c>
      <c r="G16" s="849" t="s">
        <v>96</v>
      </c>
      <c r="H16" s="166" t="s">
        <v>97</v>
      </c>
      <c r="I16" s="557">
        <f>'QCC (A)'!I43</f>
        <v>1</v>
      </c>
      <c r="J16" s="162"/>
      <c r="K16" s="580" t="s">
        <v>629</v>
      </c>
      <c r="L16" s="162"/>
      <c r="P16" s="30"/>
      <c r="S16" s="162" t="s">
        <v>525</v>
      </c>
      <c r="T16" s="162" t="s">
        <v>1</v>
      </c>
      <c r="U16" s="617">
        <v>0.41170000000000001</v>
      </c>
      <c r="V16" s="499" t="s">
        <v>526</v>
      </c>
      <c r="AA16" s="618"/>
      <c r="AB16" s="619"/>
      <c r="AC16" s="618"/>
      <c r="AD16" s="618"/>
    </row>
    <row r="17" spans="2:33" ht="24.75" customHeight="1">
      <c r="B17" s="891" t="s">
        <v>658</v>
      </c>
      <c r="C17" s="892"/>
      <c r="D17" s="44"/>
      <c r="E17" s="376" t="s">
        <v>509</v>
      </c>
      <c r="F17" s="244">
        <f>IF(F16=H16,AVERAGE(C20:C21)*I16,IF(F16=H17,AVERAGE(C20:C21)*I17,IF(F16=H18,AVERAGE(C20:C21)*I18,"errore o dati mancanti")))</f>
        <v>0</v>
      </c>
      <c r="G17" s="850"/>
      <c r="H17" s="166" t="s">
        <v>95</v>
      </c>
      <c r="I17" s="557">
        <f>'QCC (A)'!I44</f>
        <v>1.3</v>
      </c>
      <c r="J17" s="162"/>
      <c r="K17" s="580" t="s">
        <v>597</v>
      </c>
      <c r="L17" s="162"/>
      <c r="P17" s="30"/>
      <c r="S17" s="162" t="s">
        <v>527</v>
      </c>
      <c r="T17" s="162" t="s">
        <v>1</v>
      </c>
      <c r="U17" s="620">
        <v>117.15</v>
      </c>
      <c r="V17" s="499" t="s">
        <v>675</v>
      </c>
      <c r="AA17" s="621"/>
      <c r="AB17" s="622"/>
      <c r="AC17" s="618"/>
      <c r="AD17" s="618"/>
    </row>
    <row r="18" spans="2:33" ht="24.75" customHeight="1">
      <c r="B18" s="893"/>
      <c r="C18" s="894"/>
      <c r="D18" s="229"/>
      <c r="E18" s="377" t="s">
        <v>510</v>
      </c>
      <c r="F18" s="169"/>
      <c r="G18" s="851"/>
      <c r="H18" s="230" t="s">
        <v>100</v>
      </c>
      <c r="I18" s="557">
        <f>'QCC (A)'!I45</f>
        <v>2</v>
      </c>
      <c r="J18" s="162"/>
      <c r="K18" s="580" t="s">
        <v>598</v>
      </c>
      <c r="L18" s="162"/>
      <c r="P18" s="30"/>
      <c r="S18" s="162" t="s">
        <v>528</v>
      </c>
      <c r="T18" s="162" t="s">
        <v>1</v>
      </c>
      <c r="U18" s="500">
        <v>0</v>
      </c>
      <c r="V18" s="499" t="s">
        <v>529</v>
      </c>
    </row>
    <row r="19" spans="2:33" ht="24.75" customHeight="1">
      <c r="B19" s="49"/>
      <c r="C19" s="170"/>
      <c r="D19" s="44"/>
      <c r="E19" s="171"/>
      <c r="F19" s="171"/>
      <c r="G19" s="162"/>
      <c r="H19" s="231"/>
      <c r="I19" s="162"/>
      <c r="J19" s="162"/>
      <c r="K19" s="162"/>
      <c r="L19" s="162"/>
      <c r="P19" s="30"/>
      <c r="U19" s="501" t="s">
        <v>530</v>
      </c>
      <c r="V19" s="502" t="s">
        <v>676</v>
      </c>
    </row>
    <row r="20" spans="2:33" ht="24.75" customHeight="1">
      <c r="B20" s="55" t="s">
        <v>184</v>
      </c>
      <c r="C20" s="56">
        <v>0</v>
      </c>
      <c r="D20" s="44"/>
      <c r="E20" s="654" t="s">
        <v>185</v>
      </c>
      <c r="F20" s="859"/>
      <c r="G20" s="849" t="s">
        <v>186</v>
      </c>
      <c r="H20" s="846" t="s">
        <v>187</v>
      </c>
      <c r="I20" s="847"/>
      <c r="J20" s="847"/>
      <c r="K20" s="847"/>
      <c r="L20" s="847"/>
      <c r="M20" s="847"/>
      <c r="N20" s="847"/>
      <c r="O20" s="847"/>
      <c r="P20" s="848"/>
      <c r="V20" s="502" t="s">
        <v>677</v>
      </c>
    </row>
    <row r="21" spans="2:33" ht="24.75" customHeight="1">
      <c r="B21" s="55" t="s">
        <v>189</v>
      </c>
      <c r="C21" s="56">
        <v>0</v>
      </c>
      <c r="D21" s="44"/>
      <c r="E21" s="539" t="s">
        <v>190</v>
      </c>
      <c r="F21" s="172" t="s">
        <v>584</v>
      </c>
      <c r="G21" s="850"/>
      <c r="H21" s="533" t="s">
        <v>192</v>
      </c>
      <c r="I21" s="533" t="s">
        <v>191</v>
      </c>
      <c r="J21" s="533" t="s">
        <v>193</v>
      </c>
      <c r="K21" s="533" t="s">
        <v>194</v>
      </c>
      <c r="L21" s="533" t="s">
        <v>595</v>
      </c>
      <c r="M21" s="533" t="s">
        <v>584</v>
      </c>
      <c r="N21" s="533" t="s">
        <v>585</v>
      </c>
      <c r="O21" s="533" t="s">
        <v>460</v>
      </c>
      <c r="P21" s="533" t="s">
        <v>459</v>
      </c>
      <c r="AG21"/>
    </row>
    <row r="22" spans="2:33" ht="24.75" customHeight="1">
      <c r="B22" s="549"/>
      <c r="C22" s="550" t="s">
        <v>388</v>
      </c>
      <c r="D22" s="44"/>
      <c r="E22" s="540" t="s">
        <v>465</v>
      </c>
      <c r="F22" s="172" t="s">
        <v>584</v>
      </c>
      <c r="G22" s="851"/>
      <c r="H22" s="228">
        <f>'QCC (C)'!T15</f>
        <v>1</v>
      </c>
      <c r="I22" s="532">
        <f>'QCC (C)'!U15</f>
        <v>0.87</v>
      </c>
      <c r="J22" s="532">
        <f>'QCC (C)'!V15</f>
        <v>1.28</v>
      </c>
      <c r="K22" s="532">
        <f>'QCC (C)'!W15</f>
        <v>0.87</v>
      </c>
      <c r="L22" s="532">
        <f>'QCC (C)'!X15</f>
        <v>1.01</v>
      </c>
      <c r="M22" s="532">
        <f>'QCC (C)'!Y15</f>
        <v>0.36</v>
      </c>
      <c r="N22" s="532">
        <f>'QCC (C)'!Z15</f>
        <v>0.35</v>
      </c>
      <c r="O22" s="532">
        <f>'QCC (C)'!AA15</f>
        <v>0.44</v>
      </c>
      <c r="P22" s="532">
        <f>'QCC (C)'!AB15</f>
        <v>0.51</v>
      </c>
      <c r="AG22"/>
    </row>
    <row r="23" spans="2:33" ht="24.75" customHeight="1">
      <c r="B23" s="547" t="s">
        <v>254</v>
      </c>
      <c r="C23" s="548">
        <f>F23</f>
        <v>0</v>
      </c>
      <c r="D23" s="232"/>
      <c r="E23" s="552" t="s">
        <v>478</v>
      </c>
      <c r="F23" s="538">
        <f>IF(AND(F21=I21,F22=I21),F17*H22,IF(AND(F21=J21,F22=J21),F17*H22,IF(AND(F21=K21,F22=K21),F17*H22,IF(AND(F21=M21,F22=M21),F17*H22,IF(AND(F21=N21,F22=N21),F17*H22,IF(AND(F21=O21,F22=O21),F17*H22,IF(AND(F21=H21,F22=I21),F17*I22,IF(AND(F21=H21,F22=J21),F17*J22,IF(AND(F21=H21,F22=K21),F17*K22,IF(AND(F21=H21,F22=M21),F17*M22,IF(AND(F21=H21,F22=N21),F17*N22,IF(AND(F21=H21,F22=O21),F17*O22,IF(AND(F21=H21,F22=P21),F17*P22,IF(AND(F21=H21,F22=L21),F17*L22,IF(AND(F21=F22),F17*1,"errore/dati mancanti")))))))))))))))</f>
        <v>0</v>
      </c>
      <c r="G23" s="199"/>
      <c r="H23" s="555"/>
      <c r="I23" s="199"/>
      <c r="J23" s="199"/>
      <c r="K23" s="199"/>
      <c r="L23" s="199"/>
      <c r="M23" s="199"/>
      <c r="N23" s="199"/>
      <c r="O23" s="199"/>
      <c r="P23" s="553"/>
      <c r="AG23"/>
    </row>
    <row r="24" spans="2:33" ht="24.75" customHeight="1">
      <c r="B24" s="211"/>
      <c r="C24" s="241"/>
      <c r="D24" s="44"/>
      <c r="E24" s="484"/>
      <c r="F24" s="246"/>
      <c r="H24" s="546"/>
      <c r="L24" s="4"/>
      <c r="O24"/>
      <c r="U24" s="186" t="s">
        <v>462</v>
      </c>
      <c r="V24" s="186" t="s">
        <v>216</v>
      </c>
      <c r="AG24"/>
    </row>
    <row r="25" spans="2:33" ht="24.75" customHeight="1">
      <c r="B25" s="211"/>
      <c r="C25" s="241"/>
      <c r="D25" s="44"/>
      <c r="E25" s="484"/>
      <c r="F25" s="246"/>
      <c r="H25" s="546"/>
      <c r="L25" s="4"/>
      <c r="O25"/>
      <c r="U25" s="187">
        <v>7</v>
      </c>
      <c r="V25" s="187">
        <v>7</v>
      </c>
      <c r="AF25"/>
      <c r="AG25"/>
    </row>
    <row r="26" spans="2:33" ht="24.75" customHeight="1">
      <c r="B26" s="47"/>
      <c r="C26" s="47"/>
      <c r="D26" s="47"/>
      <c r="E26" s="226"/>
      <c r="F26" s="60"/>
      <c r="G26" s="227"/>
      <c r="H26" s="126"/>
      <c r="I26" s="126"/>
      <c r="J26" s="126"/>
      <c r="K26" s="126"/>
      <c r="L26" s="126"/>
      <c r="AF26"/>
      <c r="AG26"/>
    </row>
    <row r="27" spans="2:33" ht="24.75" customHeight="1">
      <c r="B27" s="6" t="s">
        <v>345</v>
      </c>
      <c r="H27" s="481"/>
      <c r="K27" s="32"/>
      <c r="L27" s="4"/>
      <c r="U27" s="256"/>
    </row>
    <row r="28" spans="2:33" ht="24.75" customHeight="1">
      <c r="B28" s="48" t="s">
        <v>622</v>
      </c>
      <c r="C28" s="574" t="s">
        <v>91</v>
      </c>
      <c r="D28" s="564"/>
      <c r="E28" s="564"/>
      <c r="F28" s="564"/>
      <c r="H28" s="481"/>
      <c r="K28" s="32"/>
      <c r="L28" s="4"/>
      <c r="U28" s="256"/>
    </row>
    <row r="29" spans="2:33" ht="24.75" customHeight="1">
      <c r="B29" s="48" t="s">
        <v>621</v>
      </c>
      <c r="C29" s="574" t="s">
        <v>620</v>
      </c>
      <c r="D29"/>
      <c r="E29"/>
      <c r="K29" s="32"/>
      <c r="L29" s="4"/>
      <c r="U29" s="256"/>
    </row>
    <row r="30" spans="2:33" ht="15" customHeight="1">
      <c r="B30" s="45"/>
      <c r="C30" s="370"/>
      <c r="D30"/>
      <c r="E30"/>
      <c r="K30" s="32"/>
      <c r="L30" s="4"/>
      <c r="U30" s="256"/>
    </row>
    <row r="31" spans="2:33" ht="24.75" customHeight="1">
      <c r="B31" s="903" t="s">
        <v>464</v>
      </c>
      <c r="C31" s="904"/>
      <c r="D31" s="904"/>
      <c r="E31" s="904"/>
      <c r="F31" s="904"/>
      <c r="G31" s="904"/>
      <c r="H31" s="904"/>
      <c r="I31" s="904"/>
      <c r="J31" s="904"/>
      <c r="K31" s="904"/>
      <c r="L31" s="904"/>
      <c r="M31" s="905"/>
      <c r="N31" s="905"/>
      <c r="O31" s="905"/>
      <c r="P31" s="906"/>
      <c r="S31" s="492" t="s">
        <v>548</v>
      </c>
    </row>
    <row r="32" spans="2:33" ht="24.75" customHeight="1" thickBot="1">
      <c r="B32" s="907"/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9"/>
      <c r="N32" s="909"/>
      <c r="O32" s="909"/>
      <c r="P32" s="910"/>
      <c r="S32" s="44"/>
    </row>
    <row r="33" spans="2:33" ht="24.75" customHeight="1" thickBot="1">
      <c r="B33" s="217"/>
      <c r="L33" s="4"/>
      <c r="P33" s="30"/>
      <c r="S33" s="493" t="s">
        <v>253</v>
      </c>
      <c r="T33" s="494" t="s">
        <v>1</v>
      </c>
      <c r="U33" s="495" t="s">
        <v>522</v>
      </c>
      <c r="V33" s="496" t="e">
        <f>(U34*U35*U36*1000)/U37</f>
        <v>#DIV/0!</v>
      </c>
      <c r="W33" s="497"/>
      <c r="X33" s="508" t="e">
        <f>V33/0.475</f>
        <v>#DIV/0!</v>
      </c>
      <c r="Y33" s="889"/>
      <c r="Z33" s="890"/>
      <c r="AA33" s="890"/>
      <c r="AB33" s="890"/>
      <c r="AC33" s="890"/>
      <c r="AD33" s="890"/>
    </row>
    <row r="34" spans="2:33" ht="24.75" customHeight="1">
      <c r="B34" s="654" t="s">
        <v>396</v>
      </c>
      <c r="C34" s="858"/>
      <c r="D34" s="44"/>
      <c r="E34" s="654" t="s">
        <v>92</v>
      </c>
      <c r="F34" s="859"/>
      <c r="G34" s="846" t="s">
        <v>93</v>
      </c>
      <c r="H34" s="847"/>
      <c r="I34" s="848"/>
      <c r="J34" s="162"/>
      <c r="K34" s="163"/>
      <c r="L34" s="162"/>
      <c r="P34" s="30"/>
      <c r="S34" s="162" t="s">
        <v>433</v>
      </c>
      <c r="T34" s="162" t="s">
        <v>1</v>
      </c>
      <c r="U34" s="498">
        <v>0</v>
      </c>
      <c r="V34" s="499" t="s">
        <v>524</v>
      </c>
    </row>
    <row r="35" spans="2:33" ht="24.75" customHeight="1">
      <c r="B35" s="3"/>
      <c r="C35" s="164"/>
      <c r="D35" s="44"/>
      <c r="E35" s="51" t="s">
        <v>94</v>
      </c>
      <c r="F35" s="165" t="s">
        <v>95</v>
      </c>
      <c r="G35" s="849" t="s">
        <v>96</v>
      </c>
      <c r="H35" s="166" t="s">
        <v>97</v>
      </c>
      <c r="I35" s="532">
        <f>'QCC (A)'!I43</f>
        <v>1</v>
      </c>
      <c r="J35" s="162"/>
      <c r="K35" s="546" t="s">
        <v>596</v>
      </c>
      <c r="L35" s="162"/>
      <c r="P35" s="30"/>
      <c r="S35" s="162" t="s">
        <v>525</v>
      </c>
      <c r="T35" s="162" t="s">
        <v>1</v>
      </c>
      <c r="U35" s="617">
        <v>0.41170000000000001</v>
      </c>
      <c r="V35" s="499" t="s">
        <v>526</v>
      </c>
      <c r="AA35" s="618"/>
      <c r="AB35" s="619"/>
      <c r="AC35" s="618"/>
      <c r="AD35" s="618"/>
    </row>
    <row r="36" spans="2:33" ht="24.75" customHeight="1">
      <c r="B36" s="891" t="s">
        <v>658</v>
      </c>
      <c r="C36" s="892"/>
      <c r="D36" s="44"/>
      <c r="E36" s="376" t="s">
        <v>509</v>
      </c>
      <c r="F36" s="244">
        <f>IF(F35=H35,AVERAGE(C39:C40)*I35,IF(F35=H36,AVERAGE(C39:C40)*I36,IF(F35=H37,AVERAGE(C39:C40)*I37,"errore o dati mancanti")))</f>
        <v>0</v>
      </c>
      <c r="G36" s="850"/>
      <c r="H36" s="166" t="s">
        <v>95</v>
      </c>
      <c r="I36" s="532">
        <f>'QCC (A)'!I44</f>
        <v>1.3</v>
      </c>
      <c r="J36" s="162"/>
      <c r="K36" s="546" t="s">
        <v>597</v>
      </c>
      <c r="L36" s="162"/>
      <c r="P36" s="30"/>
      <c r="S36" s="162" t="s">
        <v>527</v>
      </c>
      <c r="T36" s="162" t="s">
        <v>1</v>
      </c>
      <c r="U36" s="620">
        <v>117.15</v>
      </c>
      <c r="V36" s="499" t="s">
        <v>675</v>
      </c>
      <c r="AA36" s="621"/>
      <c r="AB36" s="622"/>
      <c r="AC36" s="618"/>
      <c r="AD36" s="618"/>
    </row>
    <row r="37" spans="2:33" ht="24.75" customHeight="1">
      <c r="B37" s="893"/>
      <c r="C37" s="894"/>
      <c r="D37" s="229"/>
      <c r="E37" s="377" t="s">
        <v>510</v>
      </c>
      <c r="F37" s="169"/>
      <c r="G37" s="851"/>
      <c r="H37" s="230" t="s">
        <v>100</v>
      </c>
      <c r="I37" s="532">
        <f>'QCC (A)'!I45</f>
        <v>2</v>
      </c>
      <c r="J37" s="162"/>
      <c r="K37" s="546" t="s">
        <v>598</v>
      </c>
      <c r="L37" s="162"/>
      <c r="P37" s="30"/>
      <c r="S37" s="162" t="s">
        <v>528</v>
      </c>
      <c r="T37" s="162" t="s">
        <v>1</v>
      </c>
      <c r="U37" s="500">
        <v>0</v>
      </c>
      <c r="V37" s="499" t="s">
        <v>529</v>
      </c>
    </row>
    <row r="38" spans="2:33" ht="24.75" customHeight="1">
      <c r="B38" s="49"/>
      <c r="C38" s="170"/>
      <c r="D38" s="44"/>
      <c r="E38" s="171"/>
      <c r="F38" s="171"/>
      <c r="G38" s="162"/>
      <c r="H38" s="231"/>
      <c r="I38" s="162"/>
      <c r="J38" s="162"/>
      <c r="K38" s="162"/>
      <c r="L38" s="162"/>
      <c r="P38" s="30"/>
      <c r="U38" s="501" t="s">
        <v>530</v>
      </c>
      <c r="V38" s="502" t="s">
        <v>676</v>
      </c>
    </row>
    <row r="39" spans="2:33" ht="24.75" customHeight="1">
      <c r="B39" s="55" t="s">
        <v>184</v>
      </c>
      <c r="C39" s="56">
        <v>0</v>
      </c>
      <c r="D39" s="44"/>
      <c r="E39" s="654" t="s">
        <v>185</v>
      </c>
      <c r="F39" s="859"/>
      <c r="G39" s="849" t="s">
        <v>186</v>
      </c>
      <c r="H39" s="846" t="s">
        <v>187</v>
      </c>
      <c r="I39" s="847"/>
      <c r="J39" s="847"/>
      <c r="K39" s="847"/>
      <c r="L39" s="847"/>
      <c r="M39" s="847"/>
      <c r="N39" s="847"/>
      <c r="O39" s="847"/>
      <c r="P39" s="848"/>
      <c r="V39" s="502" t="s">
        <v>677</v>
      </c>
    </row>
    <row r="40" spans="2:33" ht="24.75" customHeight="1">
      <c r="B40" s="55" t="s">
        <v>189</v>
      </c>
      <c r="C40" s="56">
        <v>0</v>
      </c>
      <c r="D40" s="44"/>
      <c r="E40" s="539" t="s">
        <v>190</v>
      </c>
      <c r="F40" s="172" t="s">
        <v>191</v>
      </c>
      <c r="G40" s="850"/>
      <c r="H40" s="533" t="s">
        <v>192</v>
      </c>
      <c r="I40" s="533" t="s">
        <v>191</v>
      </c>
      <c r="J40" s="533" t="s">
        <v>193</v>
      </c>
      <c r="K40" s="533" t="s">
        <v>194</v>
      </c>
      <c r="L40" s="533" t="s">
        <v>595</v>
      </c>
      <c r="M40" s="533" t="s">
        <v>584</v>
      </c>
      <c r="N40" s="533" t="s">
        <v>585</v>
      </c>
      <c r="O40" s="533" t="s">
        <v>460</v>
      </c>
      <c r="P40" s="533" t="s">
        <v>459</v>
      </c>
      <c r="AG40"/>
    </row>
    <row r="41" spans="2:33" ht="24.75" customHeight="1">
      <c r="B41" s="549"/>
      <c r="C41" s="550" t="s">
        <v>388</v>
      </c>
      <c r="D41" s="44"/>
      <c r="E41" s="540" t="s">
        <v>465</v>
      </c>
      <c r="F41" s="172" t="s">
        <v>191</v>
      </c>
      <c r="G41" s="851"/>
      <c r="H41" s="228">
        <f>'QCC (C)'!T15</f>
        <v>1</v>
      </c>
      <c r="I41" s="532">
        <f>'QCC (C)'!U15</f>
        <v>0.87</v>
      </c>
      <c r="J41" s="532">
        <f>'QCC (C)'!V15</f>
        <v>1.28</v>
      </c>
      <c r="K41" s="532">
        <f>'QCC (C)'!W15</f>
        <v>0.87</v>
      </c>
      <c r="L41" s="532">
        <f>'QCC (C)'!X15</f>
        <v>1.01</v>
      </c>
      <c r="M41" s="532">
        <f>'QCC (C)'!Y15</f>
        <v>0.36</v>
      </c>
      <c r="N41" s="532">
        <f>'QCC (C)'!Z15</f>
        <v>0.35</v>
      </c>
      <c r="O41" s="532">
        <f>'QCC (C)'!AA15</f>
        <v>0.44</v>
      </c>
      <c r="P41" s="532">
        <f>'QCC (C)'!AB15</f>
        <v>0.51</v>
      </c>
      <c r="U41" s="256"/>
    </row>
    <row r="42" spans="2:33" ht="24.75" customHeight="1">
      <c r="B42" s="547" t="s">
        <v>254</v>
      </c>
      <c r="C42" s="548">
        <f>F42</f>
        <v>0</v>
      </c>
      <c r="D42" s="232"/>
      <c r="E42" s="552" t="s">
        <v>478</v>
      </c>
      <c r="F42" s="538">
        <f>IF(AND(F40=I40,F41=I40),F36*H41,IF(AND(F40=J40,F41=J40),F36*H41,IF(AND(F40=K40,F41=K40),F36*H41,IF(AND(F40=M40,F41=M40),F36*H41,IF(AND(F40=N40,F41=N40),F36*H41,IF(AND(F40=O40,F41=O40),F36*H41,IF(AND(F40=H40,F41=I40),F36*I41,IF(AND(F40=H40,F41=J40),F36*J41,IF(AND(F40=H40,F41=K40),F36*K41,IF(AND(F40=H40,F41=M40),F36*M41,IF(AND(F40=H40,F41=N40),F36*N41,IF(AND(F40=H40,F41=O40),F36*O41,IF(AND(F40=H40,F41=P40),F36*P41,IF(AND(F40=H40,F41=L40),F36*L41,IF(AND(F40=F41),F36*1,"errore/dati mancanti")))))))))))))))</f>
        <v>0</v>
      </c>
      <c r="G42" s="199"/>
      <c r="H42" s="555"/>
      <c r="I42" s="199"/>
      <c r="J42" s="199"/>
      <c r="K42" s="199"/>
      <c r="L42" s="199"/>
      <c r="M42" s="199"/>
      <c r="N42" s="199"/>
      <c r="O42" s="199"/>
      <c r="P42" s="553"/>
      <c r="U42" s="256"/>
    </row>
    <row r="43" spans="2:33" ht="24.75" customHeight="1">
      <c r="B43" s="211"/>
      <c r="C43" s="241"/>
      <c r="D43" s="44"/>
      <c r="H43" s="546"/>
      <c r="N43" s="44"/>
      <c r="O43" s="44"/>
      <c r="U43" s="256"/>
    </row>
    <row r="44" spans="2:33" ht="24.75" customHeight="1">
      <c r="H44" s="546"/>
      <c r="N44" s="44"/>
      <c r="O44" s="44"/>
      <c r="P44" s="44"/>
      <c r="Q44" s="44"/>
    </row>
    <row r="45" spans="2:33" ht="24.75" customHeight="1">
      <c r="B45" s="6" t="s">
        <v>256</v>
      </c>
      <c r="N45" s="44"/>
      <c r="O45" s="44"/>
      <c r="P45" s="44"/>
      <c r="Q45" s="44"/>
    </row>
    <row r="46" spans="2:33" ht="15" customHeight="1">
      <c r="B46" s="6"/>
      <c r="N46" s="44"/>
      <c r="O46" s="44"/>
      <c r="P46" s="44"/>
      <c r="Q46" s="44"/>
    </row>
    <row r="47" spans="2:33" ht="24.75" customHeight="1">
      <c r="B47" s="235" t="s">
        <v>252</v>
      </c>
      <c r="C47" s="236">
        <f>IF((C42-C23)*0.475&lt;0,0,(C42-C23)*0.475)</f>
        <v>0</v>
      </c>
      <c r="D47" s="47"/>
      <c r="E47" s="226"/>
      <c r="F47" s="60"/>
      <c r="G47" s="227"/>
      <c r="H47" s="126"/>
      <c r="I47" s="126"/>
      <c r="J47" s="126"/>
      <c r="K47" s="126"/>
      <c r="L47" s="126"/>
    </row>
    <row r="48" spans="2:33" ht="24.75" customHeight="1" thickBot="1"/>
    <row r="49" spans="2:20" s="12" customFormat="1" ht="24.75" customHeight="1">
      <c r="B49" s="76" t="s">
        <v>262</v>
      </c>
      <c r="C49" s="77"/>
      <c r="D49" s="77"/>
      <c r="E49" s="77"/>
      <c r="F49" s="77"/>
      <c r="G49" s="77"/>
      <c r="H49" s="77"/>
      <c r="I49" s="77"/>
      <c r="J49" s="77"/>
      <c r="K49" s="353" t="s">
        <v>128</v>
      </c>
      <c r="N49" s="184"/>
      <c r="O49" s="184"/>
      <c r="P49" s="184"/>
      <c r="Q49" s="184"/>
    </row>
    <row r="50" spans="2:20" s="12" customFormat="1" ht="24.75" customHeight="1">
      <c r="B50" s="883" t="s">
        <v>188</v>
      </c>
      <c r="C50" s="884"/>
      <c r="D50" s="884"/>
      <c r="E50" s="884"/>
      <c r="F50" s="884"/>
      <c r="G50" s="884"/>
      <c r="H50" s="884"/>
      <c r="I50" s="884"/>
      <c r="J50" s="4"/>
      <c r="K50" s="354" t="s">
        <v>125</v>
      </c>
    </row>
    <row r="51" spans="2:20">
      <c r="B51" s="86" t="s">
        <v>114</v>
      </c>
      <c r="E51" s="481" t="s">
        <v>505</v>
      </c>
      <c r="K51" s="87"/>
    </row>
    <row r="52" spans="2:20">
      <c r="B52" s="89" t="s">
        <v>168</v>
      </c>
      <c r="K52" s="87"/>
    </row>
    <row r="53" spans="2:20" ht="24.75" customHeight="1">
      <c r="B53" s="479" t="s">
        <v>503</v>
      </c>
      <c r="C53" s="74"/>
      <c r="D53" s="92" t="s">
        <v>171</v>
      </c>
      <c r="E53" s="500">
        <v>0</v>
      </c>
      <c r="F53" s="92" t="s">
        <v>172</v>
      </c>
      <c r="G53" s="500">
        <v>0</v>
      </c>
      <c r="H53" s="237"/>
      <c r="I53" s="141" t="s">
        <v>196</v>
      </c>
      <c r="J53" s="174">
        <f>E53+0.6*G53</f>
        <v>0</v>
      </c>
      <c r="K53" s="87"/>
      <c r="L53" s="188"/>
      <c r="M53" s="188"/>
    </row>
    <row r="54" spans="2:20" ht="24.75" customHeight="1">
      <c r="B54" s="89"/>
      <c r="C54" s="74"/>
      <c r="D54" s="92"/>
      <c r="E54" s="237"/>
      <c r="F54" s="92"/>
      <c r="G54" s="237"/>
      <c r="H54" s="70"/>
      <c r="I54" s="176"/>
      <c r="K54" s="238"/>
      <c r="L54" s="4"/>
    </row>
    <row r="55" spans="2:20" ht="30" customHeight="1">
      <c r="B55" s="885" t="s">
        <v>197</v>
      </c>
      <c r="C55" s="844"/>
      <c r="D55" s="844"/>
      <c r="E55" s="844"/>
      <c r="F55" s="844"/>
      <c r="G55" s="844"/>
      <c r="H55" s="844"/>
      <c r="I55" s="177">
        <f>HLOOKUP(K55,B63:T64,2,0)</f>
        <v>7</v>
      </c>
      <c r="J55" s="342" t="s">
        <v>223</v>
      </c>
      <c r="K55" s="179" t="s">
        <v>202</v>
      </c>
      <c r="L55" s="4"/>
    </row>
    <row r="56" spans="2:20" ht="9.9499999999999993" customHeight="1">
      <c r="B56" s="180"/>
      <c r="C56" s="181"/>
      <c r="D56" s="181"/>
      <c r="E56" s="181"/>
      <c r="F56" s="181"/>
      <c r="G56" s="181"/>
      <c r="H56" s="181"/>
      <c r="I56" s="92"/>
      <c r="J56" s="92"/>
      <c r="K56" s="175"/>
      <c r="L56" s="4"/>
    </row>
    <row r="57" spans="2:20" ht="30" customHeight="1">
      <c r="B57" s="843" t="s">
        <v>557</v>
      </c>
      <c r="C57" s="919"/>
      <c r="D57" s="919"/>
      <c r="E57" s="919"/>
      <c r="F57" s="919"/>
      <c r="G57" s="919"/>
      <c r="H57" s="919"/>
      <c r="I57" s="919"/>
      <c r="J57" s="933"/>
      <c r="K57" s="503" t="s">
        <v>125</v>
      </c>
      <c r="L57" s="4"/>
    </row>
    <row r="58" spans="2:20" ht="24.75" customHeight="1" thickBot="1">
      <c r="B58" s="145"/>
      <c r="C58" s="146"/>
      <c r="D58" s="146"/>
      <c r="E58" s="146"/>
      <c r="F58" s="146"/>
      <c r="G58" s="146"/>
      <c r="H58" s="146"/>
      <c r="I58" s="99"/>
      <c r="J58" s="182">
        <v>0</v>
      </c>
      <c r="K58" s="183">
        <v>35</v>
      </c>
      <c r="L58" s="4"/>
    </row>
    <row r="59" spans="2:20" ht="30" customHeight="1" thickBot="1">
      <c r="B59" s="101"/>
      <c r="C59" s="149"/>
      <c r="D59" s="102" t="s">
        <v>200</v>
      </c>
      <c r="E59" s="239">
        <f>IF(K57="SI",E60,IF(K57="NO",E61))</f>
        <v>0</v>
      </c>
      <c r="F59" s="103"/>
      <c r="G59" s="149"/>
      <c r="H59" s="149"/>
      <c r="I59" s="149"/>
      <c r="J59" s="149"/>
      <c r="K59" s="150"/>
      <c r="L59" s="4"/>
    </row>
    <row r="60" spans="2:20" ht="24.75" hidden="1" customHeight="1">
      <c r="B60" s="108"/>
      <c r="C60" s="108"/>
      <c r="D60" s="109" t="s">
        <v>201</v>
      </c>
      <c r="E60" s="109">
        <f>C47*J53*I55/100*(1-K58/100)</f>
        <v>0</v>
      </c>
      <c r="F60" s="111" t="s">
        <v>178</v>
      </c>
      <c r="G60" s="12"/>
      <c r="H60" s="12"/>
      <c r="I60" s="12"/>
      <c r="J60" s="12"/>
      <c r="K60" s="12"/>
      <c r="L60" s="4"/>
    </row>
    <row r="61" spans="2:20" s="186" customFormat="1" ht="24.75" hidden="1" customHeight="1">
      <c r="B61" s="108"/>
      <c r="C61" s="108"/>
      <c r="D61" s="109" t="s">
        <v>201</v>
      </c>
      <c r="E61" s="109">
        <f>C47*J53*I55/100*(1-J58/100)</f>
        <v>0</v>
      </c>
      <c r="F61" s="111" t="s">
        <v>178</v>
      </c>
      <c r="G61" s="12"/>
      <c r="H61" s="12"/>
      <c r="I61" s="12"/>
      <c r="J61" s="12"/>
      <c r="K61" s="12"/>
    </row>
    <row r="62" spans="2:20" s="187" customFormat="1" ht="24.75" hidden="1" customHeight="1"/>
    <row r="63" spans="2:20" ht="24.75" hidden="1" customHeight="1">
      <c r="B63" s="185" t="s">
        <v>202</v>
      </c>
      <c r="C63" s="185" t="s">
        <v>203</v>
      </c>
      <c r="D63" s="185" t="s">
        <v>199</v>
      </c>
      <c r="E63" s="185" t="s">
        <v>204</v>
      </c>
      <c r="F63" s="185" t="s">
        <v>205</v>
      </c>
      <c r="G63" s="185" t="s">
        <v>206</v>
      </c>
      <c r="H63" s="185" t="s">
        <v>207</v>
      </c>
      <c r="I63" s="185" t="s">
        <v>208</v>
      </c>
      <c r="J63" s="186" t="s">
        <v>209</v>
      </c>
      <c r="K63" s="186" t="s">
        <v>210</v>
      </c>
      <c r="L63" s="186" t="s">
        <v>211</v>
      </c>
      <c r="M63" s="186" t="s">
        <v>212</v>
      </c>
      <c r="N63" s="186" t="s">
        <v>213</v>
      </c>
      <c r="O63" s="186"/>
      <c r="P63" s="186"/>
      <c r="Q63" s="186" t="s">
        <v>214</v>
      </c>
      <c r="R63" s="186" t="s">
        <v>215</v>
      </c>
      <c r="S63" s="186" t="s">
        <v>462</v>
      </c>
      <c r="T63" s="186" t="s">
        <v>216</v>
      </c>
    </row>
    <row r="64" spans="2:20" ht="24.75" hidden="1" customHeight="1">
      <c r="B64" s="187">
        <v>7</v>
      </c>
      <c r="C64" s="187">
        <v>7</v>
      </c>
      <c r="D64" s="187">
        <v>7</v>
      </c>
      <c r="E64" s="187">
        <v>7</v>
      </c>
      <c r="F64" s="187">
        <v>7</v>
      </c>
      <c r="G64" s="187">
        <v>10</v>
      </c>
      <c r="H64" s="187">
        <v>10</v>
      </c>
      <c r="I64" s="187">
        <v>10</v>
      </c>
      <c r="J64" s="187">
        <v>7</v>
      </c>
      <c r="K64" s="187">
        <v>7</v>
      </c>
      <c r="L64" s="187">
        <v>7</v>
      </c>
      <c r="M64" s="187">
        <v>7</v>
      </c>
      <c r="N64" s="187">
        <v>7</v>
      </c>
      <c r="O64" s="187"/>
      <c r="P64" s="187"/>
      <c r="Q64" s="187">
        <v>7</v>
      </c>
      <c r="R64" s="187">
        <v>7</v>
      </c>
      <c r="S64" s="187">
        <v>7</v>
      </c>
      <c r="T64" s="187">
        <v>7</v>
      </c>
    </row>
    <row r="65" spans="11:11" ht="17.25" customHeight="1">
      <c r="K65" s="194" t="s">
        <v>384</v>
      </c>
    </row>
    <row r="66" spans="11:11" ht="18.75" customHeight="1"/>
  </sheetData>
  <sheetProtection algorithmName="SHA-512" hashValue="YFX4d3WZ3312QNVCsgemPGHnleucQNV/GGOwbWy5tYJQDf4jY0dgS/+boWtcVWgqr/MevV4fMDXkP2Y49IZ57Q==" saltValue="8tfiGHlSRdH10f1HXjlAOg==" spinCount="100000" sheet="1" objects="1" scenarios="1" selectLockedCells="1"/>
  <mergeCells count="28">
    <mergeCell ref="B50:I50"/>
    <mergeCell ref="B55:H55"/>
    <mergeCell ref="B57:J57"/>
    <mergeCell ref="B34:C34"/>
    <mergeCell ref="E34:F34"/>
    <mergeCell ref="G34:I34"/>
    <mergeCell ref="G35:G37"/>
    <mergeCell ref="B36:C37"/>
    <mergeCell ref="E39:F39"/>
    <mergeCell ref="G39:G41"/>
    <mergeCell ref="H39:P39"/>
    <mergeCell ref="Y33:AD33"/>
    <mergeCell ref="Y14:AD14"/>
    <mergeCell ref="B15:C15"/>
    <mergeCell ref="E15:F15"/>
    <mergeCell ref="G15:I15"/>
    <mergeCell ref="G16:G18"/>
    <mergeCell ref="B17:C18"/>
    <mergeCell ref="E20:F20"/>
    <mergeCell ref="G20:G22"/>
    <mergeCell ref="B31:P32"/>
    <mergeCell ref="H20:P20"/>
    <mergeCell ref="B12:P13"/>
    <mergeCell ref="B2:B4"/>
    <mergeCell ref="C2:K2"/>
    <mergeCell ref="C3:K3"/>
    <mergeCell ref="C4:K4"/>
    <mergeCell ref="B6:K6"/>
  </mergeCells>
  <conditionalFormatting sqref="C23:C25">
    <cfRule type="expression" dxfId="9" priority="5">
      <formula>#REF!="errore o dati mancanti"</formula>
    </cfRule>
  </conditionalFormatting>
  <conditionalFormatting sqref="C42:C43">
    <cfRule type="expression" dxfId="8" priority="23">
      <formula>#REF!="errore o dati mancanti"</formula>
    </cfRule>
  </conditionalFormatting>
  <conditionalFormatting sqref="F17">
    <cfRule type="expression" dxfId="7" priority="3">
      <formula>#REF!&lt;&gt;"errore o dati mancanti"</formula>
    </cfRule>
    <cfRule type="expression" dxfId="6" priority="4">
      <formula>#REF!="errore o dati mancanti"</formula>
    </cfRule>
  </conditionalFormatting>
  <conditionalFormatting sqref="F23:F25">
    <cfRule type="expression" dxfId="5" priority="1">
      <formula>#REF!&lt;&gt;"errore o dati mancanti"</formula>
    </cfRule>
    <cfRule type="expression" dxfId="4" priority="2">
      <formula>#REF!="errore o dati mancanti"</formula>
    </cfRule>
  </conditionalFormatting>
  <conditionalFormatting sqref="F36">
    <cfRule type="expression" dxfId="3" priority="21">
      <formula>#REF!&lt;&gt;"errore o dati mancanti"</formula>
    </cfRule>
    <cfRule type="expression" dxfId="2" priority="22">
      <formula>#REF!="errore o dati mancanti"</formula>
    </cfRule>
  </conditionalFormatting>
  <conditionalFormatting sqref="F42">
    <cfRule type="expression" dxfId="1" priority="6">
      <formula>#REF!&lt;&gt;"errore o dati mancanti"</formula>
    </cfRule>
    <cfRule type="expression" dxfId="0" priority="7">
      <formula>#REF!="errore o dati mancanti"</formula>
    </cfRule>
  </conditionalFormatting>
  <dataValidations disablePrompts="1" count="7">
    <dataValidation type="list" allowBlank="1" showInputMessage="1" showErrorMessage="1" sqref="K55">
      <formula1>$B$63:$T$63</formula1>
    </dataValidation>
    <dataValidation type="list" allowBlank="1" showInputMessage="1" showErrorMessage="1" sqref="F35">
      <formula1>$H$35:$H$37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41">
      <formula1>$I$40:$P$40</formula1>
    </dataValidation>
    <dataValidation type="list" allowBlank="1" showInputMessage="1" showErrorMessage="1" sqref="F40">
      <formula1>$H$40:$P$40</formula1>
    </dataValidation>
    <dataValidation type="list" allowBlank="1" showInputMessage="1" showErrorMessage="1" sqref="F21">
      <formula1>$H$21:$P$21</formula1>
    </dataValidation>
    <dataValidation type="list" allowBlank="1" showInputMessage="1" showErrorMessage="1" sqref="F22">
      <formula1>$I$21:$P$21</formula1>
    </dataValidation>
  </dataValidations>
  <hyperlinks>
    <hyperlink ref="C28" r:id="rId1"/>
    <hyperlink ref="C29" r:id="rId2"/>
    <hyperlink ref="C9" r:id="rId3"/>
    <hyperlink ref="C10" r:id="rId4"/>
  </hyperlinks>
  <pageMargins left="0.7" right="0.7" top="0.75" bottom="0.75" header="0.3" footer="0.3"/>
  <pageSetup paperSize="8" scale="65" orientation="portrait" horizontalDpi="1200" verticalDpi="1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B2" sqref="B2"/>
    </sheetView>
  </sheetViews>
  <sheetFormatPr defaultColWidth="0" defaultRowHeight="15" customHeight="1" zeroHeight="1"/>
  <cols>
    <col min="1" max="1" width="2.5703125" style="588" customWidth="1"/>
    <col min="2" max="2" width="36" style="588" customWidth="1"/>
    <col min="3" max="3" width="26.5703125" style="588" customWidth="1"/>
    <col min="4" max="4" width="2.5703125" style="588" customWidth="1"/>
    <col min="5" max="5" width="26.5703125" style="588" customWidth="1"/>
    <col min="6" max="6" width="2.5703125" style="588" customWidth="1"/>
    <col min="7" max="7" width="28.42578125" style="588" customWidth="1"/>
    <col min="8" max="8" width="80" style="588" customWidth="1"/>
    <col min="9" max="11" width="8.85546875" style="588" customWidth="1"/>
    <col min="12" max="16384" width="8.85546875" style="588" hidden="1"/>
  </cols>
  <sheetData>
    <row r="1" spans="1:8">
      <c r="A1" s="585"/>
      <c r="B1" s="586" t="s">
        <v>636</v>
      </c>
      <c r="C1" s="586" t="s">
        <v>645</v>
      </c>
      <c r="D1" s="587"/>
      <c r="E1" s="586" t="s">
        <v>646</v>
      </c>
      <c r="F1" s="587"/>
      <c r="G1" s="586" t="s">
        <v>647</v>
      </c>
      <c r="H1" s="586" t="s">
        <v>648</v>
      </c>
    </row>
    <row r="2" spans="1:8">
      <c r="A2" s="585"/>
      <c r="B2" s="589" t="s">
        <v>640</v>
      </c>
      <c r="C2" s="590"/>
      <c r="D2" s="591"/>
      <c r="E2" s="590"/>
      <c r="F2" s="591"/>
      <c r="G2" s="590" t="str">
        <f>IF(C2="","",E2-C2)</f>
        <v/>
      </c>
      <c r="H2" s="589"/>
    </row>
    <row r="3" spans="1:8">
      <c r="A3" s="585"/>
      <c r="B3" s="589" t="s">
        <v>641</v>
      </c>
      <c r="C3" s="590"/>
      <c r="D3" s="591"/>
      <c r="E3" s="590"/>
      <c r="F3" s="591"/>
      <c r="G3" s="590" t="str">
        <f t="shared" ref="G3:G5" si="0">IF(C3="","",E3-C3)</f>
        <v/>
      </c>
      <c r="H3" s="589"/>
    </row>
    <row r="4" spans="1:8">
      <c r="A4" s="585"/>
      <c r="B4" s="589" t="s">
        <v>642</v>
      </c>
      <c r="C4" s="590"/>
      <c r="D4" s="591"/>
      <c r="E4" s="590"/>
      <c r="F4" s="591"/>
      <c r="G4" s="590" t="str">
        <f t="shared" si="0"/>
        <v/>
      </c>
      <c r="H4" s="589"/>
    </row>
    <row r="5" spans="1:8">
      <c r="A5" s="585"/>
      <c r="B5" s="589" t="s">
        <v>649</v>
      </c>
      <c r="C5" s="590"/>
      <c r="D5" s="591"/>
      <c r="E5" s="590"/>
      <c r="F5" s="591"/>
      <c r="G5" s="590" t="str">
        <f t="shared" si="0"/>
        <v/>
      </c>
      <c r="H5" s="589"/>
    </row>
    <row r="6" spans="1:8" ht="75">
      <c r="A6" s="585"/>
      <c r="B6" s="589" t="s">
        <v>643</v>
      </c>
      <c r="C6" s="590"/>
      <c r="D6" s="591"/>
      <c r="E6" s="590">
        <f>Allegato_1Cs!AB207</f>
        <v>0</v>
      </c>
      <c r="F6" s="591"/>
      <c r="G6" s="590" t="str">
        <f>IF(C6="","",E6-C6)</f>
        <v/>
      </c>
      <c r="H6" s="606" t="str">
        <f>(Allegato_1Cs!AP122)&amp;" - "&amp;C6&amp; " €"</f>
        <v xml:space="preserve"> [MPP1] = [mq] x 0,3 x [€/mq] 148,31 = 0 €
 [MPP2] = [mq] x 0,3 x [€/mq] 148,31 = 0 €
 [MSP1] = [mq] 0 x  [€/mq] 200 = 0 €
 [MSP2] = [mq] 0 x  [€/mq] 200 = 0 €
 [MVS] = [mq] 0 x  [€/mq] 200 = 0 € -  €</v>
      </c>
    </row>
    <row r="7" spans="1:8">
      <c r="A7" s="585"/>
      <c r="B7" s="589" t="s">
        <v>644</v>
      </c>
      <c r="C7" s="590"/>
      <c r="D7" s="591"/>
      <c r="E7" s="590">
        <f>Allegato_1Cs!AF200</f>
        <v>0</v>
      </c>
      <c r="F7" s="591"/>
      <c r="G7" s="590" t="str">
        <f>IF(C7="","",E7-C7)</f>
        <v/>
      </c>
      <c r="H7" s="589"/>
    </row>
    <row r="8" spans="1:8">
      <c r="A8" s="585"/>
      <c r="B8" s="589" t="s">
        <v>414</v>
      </c>
      <c r="C8" s="590"/>
      <c r="D8" s="591"/>
      <c r="E8" s="590">
        <f>Allegato_1Cs!AF187</f>
        <v>0</v>
      </c>
      <c r="F8" s="591"/>
      <c r="G8" s="590" t="str">
        <f>IF(C8="","",E8-C8)</f>
        <v/>
      </c>
      <c r="H8" s="589"/>
    </row>
    <row r="9" spans="1:8">
      <c r="A9" s="585"/>
      <c r="B9" s="589" t="s">
        <v>407</v>
      </c>
      <c r="C9" s="590"/>
      <c r="D9" s="591"/>
      <c r="E9" s="590"/>
      <c r="F9" s="591"/>
      <c r="G9" s="590" t="str">
        <f t="shared" ref="G9:G11" si="1">IF(C9="","",E9-C9)</f>
        <v/>
      </c>
      <c r="H9" s="589"/>
    </row>
    <row r="10" spans="1:8">
      <c r="A10" s="585"/>
      <c r="B10" s="589" t="s">
        <v>409</v>
      </c>
      <c r="C10" s="590"/>
      <c r="D10" s="591"/>
      <c r="E10" s="590"/>
      <c r="F10" s="591"/>
      <c r="G10" s="590" t="str">
        <f t="shared" si="1"/>
        <v/>
      </c>
      <c r="H10" s="589"/>
    </row>
    <row r="11" spans="1:8" ht="90">
      <c r="A11" s="585"/>
      <c r="B11" s="589" t="s">
        <v>574</v>
      </c>
      <c r="C11" s="590"/>
      <c r="D11" s="591"/>
      <c r="E11" s="590">
        <f>Allegato_1Cs!AI208</f>
        <v>1600</v>
      </c>
      <c r="F11" s="591"/>
      <c r="G11" s="590" t="str">
        <f t="shared" si="1"/>
        <v/>
      </c>
      <c r="H11" s="606" t="str">
        <f>(Allegato_1Cs!AP192)&amp;" - "&amp;C11&amp; " €"</f>
        <v xml:space="preserve"> [Oblazione (lett.a DC)] = [Cdc x 2] 1600 €
 [Oblazione (lett.a G)] = [Cdc x 2] 0 €
 [Oblazione (lett.b DC)] = [Cdc x 1] 0 €
 [Oblazione (lett.b G)] = [Cdc x 1] 0 €
 [Oblazione (lett.c DC)] = 0 €
 [Oblazione (lett.c G)] = 0 € -  €</v>
      </c>
    </row>
    <row r="12" spans="1:8">
      <c r="A12" s="585"/>
      <c r="B12" s="589"/>
      <c r="C12" s="590"/>
      <c r="D12" s="591"/>
      <c r="E12" s="590"/>
      <c r="F12" s="591"/>
      <c r="G12" s="590"/>
      <c r="H12" s="589"/>
    </row>
    <row r="13" spans="1:8">
      <c r="A13" s="585"/>
      <c r="B13" s="589"/>
      <c r="C13" s="590"/>
      <c r="D13" s="591"/>
      <c r="E13" s="590"/>
      <c r="F13" s="591"/>
      <c r="G13" s="590"/>
      <c r="H13" s="589"/>
    </row>
    <row r="14" spans="1:8">
      <c r="A14" s="585"/>
      <c r="B14" s="589"/>
      <c r="C14" s="590"/>
      <c r="D14" s="591"/>
      <c r="E14" s="590"/>
      <c r="F14" s="591"/>
      <c r="G14" s="590"/>
      <c r="H14" s="589"/>
    </row>
    <row r="15" spans="1:8">
      <c r="A15" s="585"/>
      <c r="B15" s="589"/>
      <c r="C15" s="590"/>
      <c r="D15" s="591"/>
      <c r="E15" s="590"/>
      <c r="F15" s="591"/>
      <c r="G15" s="590"/>
      <c r="H15" s="589"/>
    </row>
    <row r="16" spans="1:8">
      <c r="A16" s="585"/>
      <c r="B16" s="589"/>
      <c r="C16" s="590"/>
      <c r="D16" s="591"/>
      <c r="E16" s="590"/>
      <c r="F16" s="591"/>
      <c r="G16" s="590"/>
      <c r="H16" s="589"/>
    </row>
    <row r="17" spans="1:8">
      <c r="A17" s="585"/>
      <c r="B17" s="589"/>
      <c r="C17" s="590"/>
      <c r="D17" s="591"/>
      <c r="E17" s="590"/>
      <c r="F17" s="591"/>
      <c r="G17" s="590"/>
      <c r="H17" s="589"/>
    </row>
    <row r="18" spans="1:8">
      <c r="A18" s="585"/>
      <c r="B18" s="589"/>
      <c r="C18" s="590"/>
      <c r="D18" s="591"/>
      <c r="E18" s="590"/>
      <c r="F18" s="591"/>
      <c r="G18" s="590"/>
      <c r="H18" s="589"/>
    </row>
    <row r="19" spans="1:8">
      <c r="A19" s="585"/>
      <c r="B19" s="589"/>
      <c r="C19" s="590"/>
      <c r="D19" s="591"/>
      <c r="E19" s="590"/>
      <c r="F19" s="591"/>
      <c r="G19" s="590"/>
      <c r="H19" s="589"/>
    </row>
    <row r="20" spans="1:8" ht="15.75" thickBot="1">
      <c r="A20" s="585"/>
      <c r="B20" s="592"/>
      <c r="C20" s="593"/>
      <c r="D20" s="591"/>
      <c r="E20" s="593"/>
      <c r="F20" s="591"/>
      <c r="G20" s="593"/>
      <c r="H20" s="592"/>
    </row>
    <row r="21" spans="1:8">
      <c r="B21" s="594"/>
      <c r="C21" s="594"/>
      <c r="E21" s="594"/>
      <c r="G21" s="594"/>
    </row>
    <row r="22" spans="1:8" ht="45">
      <c r="C22" s="595" t="s">
        <v>650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</sheetData>
  <conditionalFormatting sqref="B2:B20">
    <cfRule type="expression" dxfId="49" priority="2">
      <formula>SUM($G$2:$G$20)&gt;0</formula>
    </cfRule>
  </conditionalFormatting>
  <conditionalFormatting sqref="G2:G5 G12:G20">
    <cfRule type="expression" dxfId="48" priority="3">
      <formula>SUM($G$2:$G$20)&gt;0</formula>
    </cfRule>
  </conditionalFormatting>
  <conditionalFormatting sqref="G6:G11">
    <cfRule type="expression" dxfId="47" priority="1">
      <formula>SUM($G$2:$G$20)&gt;0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0"/>
  <sheetViews>
    <sheetView showGridLines="0" tabSelected="1" zoomScale="80" zoomScaleNormal="80" workbookViewId="0">
      <selection activeCell="C4" sqref="C4"/>
    </sheetView>
  </sheetViews>
  <sheetFormatPr defaultRowHeight="15"/>
  <cols>
    <col min="1" max="1" width="5.7109375" customWidth="1"/>
    <col min="2" max="2" width="5.5703125" style="565" customWidth="1"/>
  </cols>
  <sheetData>
    <row r="2" spans="2:22" ht="29.1" customHeight="1">
      <c r="C2" s="612" t="s">
        <v>673</v>
      </c>
    </row>
    <row r="3" spans="2:22" ht="35.1" customHeight="1">
      <c r="C3" s="611" t="s">
        <v>674</v>
      </c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7"/>
      <c r="U3" s="567"/>
      <c r="V3" s="567"/>
    </row>
    <row r="4" spans="2:22" ht="35.1" customHeight="1">
      <c r="C4" s="611" t="s">
        <v>681</v>
      </c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</row>
    <row r="5" spans="2:22" ht="24.95" customHeight="1">
      <c r="B5" s="613">
        <v>1</v>
      </c>
      <c r="C5" s="612" t="s">
        <v>663</v>
      </c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567"/>
      <c r="S5" s="567"/>
      <c r="T5" s="567"/>
      <c r="U5" s="567"/>
      <c r="V5" s="567"/>
    </row>
    <row r="6" spans="2:22" ht="24.95" customHeight="1">
      <c r="C6" s="612" t="s">
        <v>664</v>
      </c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  <c r="O6" s="567"/>
      <c r="P6" s="567"/>
      <c r="Q6" s="567"/>
      <c r="R6" s="567"/>
      <c r="S6" s="567"/>
      <c r="T6" s="567"/>
      <c r="U6" s="567"/>
      <c r="V6" s="567"/>
    </row>
    <row r="7" spans="2:22" ht="24.95" customHeight="1">
      <c r="C7" s="612" t="s">
        <v>666</v>
      </c>
      <c r="D7" s="567"/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</row>
    <row r="8" spans="2:22" ht="24.95" customHeight="1">
      <c r="C8" s="612" t="s">
        <v>665</v>
      </c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</row>
    <row r="9" spans="2:22" ht="9.9499999999999993" customHeight="1">
      <c r="C9" s="566"/>
      <c r="D9" s="567"/>
      <c r="E9" s="567"/>
      <c r="F9" s="567"/>
      <c r="G9" s="567"/>
      <c r="H9" s="567"/>
      <c r="I9" s="567"/>
      <c r="J9" s="567"/>
      <c r="K9" s="567"/>
      <c r="L9" s="567"/>
      <c r="M9" s="567"/>
      <c r="N9" s="567"/>
      <c r="O9" s="567"/>
      <c r="P9" s="567"/>
      <c r="Q9" s="567"/>
      <c r="R9" s="567"/>
      <c r="S9" s="567"/>
      <c r="T9" s="567"/>
      <c r="U9" s="567"/>
      <c r="V9" s="567"/>
    </row>
    <row r="10" spans="2:22" s="569" customFormat="1" ht="24.95" customHeight="1">
      <c r="B10" s="568">
        <v>2</v>
      </c>
      <c r="C10" s="596" t="s">
        <v>651</v>
      </c>
    </row>
    <row r="11" spans="2:22" s="569" customFormat="1" ht="24.95" customHeight="1">
      <c r="B11" s="568"/>
      <c r="C11" s="596" t="s">
        <v>652</v>
      </c>
    </row>
    <row r="12" spans="2:22" s="569" customFormat="1" ht="9.9499999999999993" customHeight="1">
      <c r="B12" s="568"/>
    </row>
    <row r="13" spans="2:22" s="569" customFormat="1" ht="24.95" customHeight="1">
      <c r="B13" s="568">
        <v>3</v>
      </c>
      <c r="C13" s="570" t="s">
        <v>630</v>
      </c>
    </row>
    <row r="14" spans="2:22" s="569" customFormat="1" ht="24.95" customHeight="1">
      <c r="B14" s="568"/>
      <c r="C14" s="570" t="s">
        <v>631</v>
      </c>
    </row>
    <row r="15" spans="2:22" s="569" customFormat="1" ht="9.9499999999999993" customHeight="1">
      <c r="B15" s="568"/>
    </row>
    <row r="16" spans="2:22" s="569" customFormat="1" ht="24.95" customHeight="1">
      <c r="B16" s="568">
        <v>4</v>
      </c>
      <c r="C16" s="569" t="s">
        <v>609</v>
      </c>
    </row>
    <row r="17" spans="2:3" s="569" customFormat="1" ht="24.95" customHeight="1">
      <c r="B17" s="568"/>
      <c r="C17" s="569" t="s">
        <v>632</v>
      </c>
    </row>
    <row r="18" spans="2:3" s="569" customFormat="1" ht="9.9499999999999993" customHeight="1">
      <c r="B18" s="568"/>
    </row>
    <row r="19" spans="2:3" s="569" customFormat="1" ht="24.95" customHeight="1">
      <c r="B19" s="568">
        <v>5</v>
      </c>
      <c r="C19" s="569" t="s">
        <v>610</v>
      </c>
    </row>
    <row r="20" spans="2:3" s="569" customFormat="1" ht="24.95" customHeight="1">
      <c r="B20" s="568"/>
      <c r="C20" s="570" t="s">
        <v>611</v>
      </c>
    </row>
    <row r="21" spans="2:3" s="569" customFormat="1" ht="24.95" customHeight="1">
      <c r="B21" s="568"/>
      <c r="C21" s="570" t="s">
        <v>612</v>
      </c>
    </row>
    <row r="22" spans="2:3" s="569" customFormat="1" ht="24.95" customHeight="1">
      <c r="B22" s="568"/>
      <c r="C22" s="569" t="s">
        <v>613</v>
      </c>
    </row>
    <row r="23" spans="2:3" s="569" customFormat="1" ht="24.95" customHeight="1">
      <c r="B23" s="568"/>
      <c r="C23" s="570" t="s">
        <v>614</v>
      </c>
    </row>
    <row r="24" spans="2:3" s="569" customFormat="1" ht="9.9499999999999993" customHeight="1">
      <c r="B24" s="568"/>
    </row>
    <row r="25" spans="2:3" s="569" customFormat="1" ht="24.95" customHeight="1">
      <c r="B25" s="568">
        <v>6</v>
      </c>
      <c r="C25" s="570" t="s">
        <v>633</v>
      </c>
    </row>
    <row r="26" spans="2:3" s="569" customFormat="1" ht="24.95" customHeight="1">
      <c r="B26" s="571"/>
      <c r="C26" s="569" t="s">
        <v>615</v>
      </c>
    </row>
    <row r="27" spans="2:3" s="569" customFormat="1" ht="24.95" customHeight="1">
      <c r="B27" s="571"/>
      <c r="C27" s="569" t="s">
        <v>616</v>
      </c>
    </row>
    <row r="28" spans="2:3" s="569" customFormat="1" ht="24.95" customHeight="1">
      <c r="B28" s="571"/>
      <c r="C28" s="569" t="s">
        <v>617</v>
      </c>
    </row>
    <row r="29" spans="2:3" s="569" customFormat="1" ht="24.95" customHeight="1">
      <c r="B29" s="571"/>
      <c r="C29" s="569" t="s">
        <v>618</v>
      </c>
    </row>
    <row r="30" spans="2:3" s="569" customFormat="1" ht="24.95" customHeight="1">
      <c r="B30" s="571"/>
      <c r="C30" s="570" t="s">
        <v>619</v>
      </c>
    </row>
  </sheetData>
  <sheetProtection algorithmName="SHA-512" hashValue="U+7pa+/bzugwGaVqVuJP7u6G1SVXtBRLRYU6PqPnhZ3vZZhS+ERk0tkkmTo6A/SZ5DAIxaQ0XS1vMCLyrlaN1A==" saltValue="o9gibtGXscZs2wSll2ZBPQ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B2:V87"/>
  <sheetViews>
    <sheetView showGridLines="0" zoomScaleNormal="100" workbookViewId="0">
      <selection activeCell="B3" sqref="B3:D4"/>
    </sheetView>
  </sheetViews>
  <sheetFormatPr defaultColWidth="9.140625" defaultRowHeight="15"/>
  <cols>
    <col min="1" max="1" width="3.7109375" style="196" customWidth="1"/>
    <col min="2" max="2" width="23" style="196" customWidth="1"/>
    <col min="3" max="3" width="15.7109375" style="196" customWidth="1"/>
    <col min="4" max="4" width="20.42578125" style="196" customWidth="1"/>
    <col min="5" max="6" width="13.28515625" style="231" customWidth="1"/>
    <col min="7" max="12" width="13.28515625" style="196" customWidth="1"/>
    <col min="13" max="13" width="9.28515625" style="196" customWidth="1"/>
    <col min="14" max="14" width="13.28515625" style="196" customWidth="1"/>
    <col min="15" max="15" width="19.7109375" style="196" customWidth="1"/>
    <col min="16" max="18" width="13.28515625" style="196" customWidth="1"/>
    <col min="19" max="19" width="9.140625" style="196"/>
    <col min="21" max="22" width="25.42578125" style="196" hidden="1" customWidth="1"/>
    <col min="23" max="16384" width="9.140625" style="196"/>
  </cols>
  <sheetData>
    <row r="2" spans="2:22" ht="15.75" thickBot="1">
      <c r="N2" s="674" t="s">
        <v>539</v>
      </c>
      <c r="O2" s="675"/>
      <c r="P2" s="676" t="s">
        <v>540</v>
      </c>
      <c r="Q2" s="368" t="s">
        <v>441</v>
      </c>
      <c r="R2" s="368" t="s">
        <v>541</v>
      </c>
    </row>
    <row r="3" spans="2:22" ht="45.75" customHeight="1">
      <c r="B3" s="678" t="s">
        <v>554</v>
      </c>
      <c r="C3" s="679"/>
      <c r="D3" s="680"/>
      <c r="E3" s="684" t="s">
        <v>361</v>
      </c>
      <c r="F3" s="685"/>
      <c r="G3" s="684" t="s">
        <v>362</v>
      </c>
      <c r="H3" s="685"/>
      <c r="I3" s="684" t="s">
        <v>363</v>
      </c>
      <c r="J3" s="685"/>
      <c r="N3" s="675"/>
      <c r="O3" s="675"/>
      <c r="P3" s="677"/>
      <c r="Q3" s="368">
        <v>4.7699999999999996</v>
      </c>
      <c r="R3" s="368">
        <v>3.57</v>
      </c>
      <c r="U3" s="256" t="s">
        <v>0</v>
      </c>
      <c r="V3" s="256" t="s">
        <v>6</v>
      </c>
    </row>
    <row r="4" spans="2:22" ht="20.100000000000001" customHeight="1" thickBot="1">
      <c r="B4" s="681"/>
      <c r="C4" s="682"/>
      <c r="D4" s="683"/>
      <c r="E4" s="355" t="s">
        <v>0</v>
      </c>
      <c r="F4" s="356" t="s">
        <v>6</v>
      </c>
      <c r="G4" s="355" t="s">
        <v>0</v>
      </c>
      <c r="H4" s="356" t="s">
        <v>6</v>
      </c>
      <c r="I4" s="355" t="s">
        <v>0</v>
      </c>
      <c r="J4" s="356" t="s">
        <v>6</v>
      </c>
      <c r="U4" s="256"/>
      <c r="V4" s="256"/>
    </row>
    <row r="5" spans="2:22" ht="20.100000000000001" customHeight="1">
      <c r="B5" s="662" t="s">
        <v>364</v>
      </c>
      <c r="C5" s="665" t="s">
        <v>365</v>
      </c>
      <c r="D5" s="364" t="s">
        <v>366</v>
      </c>
      <c r="E5" s="416">
        <v>101.27</v>
      </c>
      <c r="F5" s="417">
        <v>131.05000000000001</v>
      </c>
      <c r="G5" s="416">
        <v>70.89</v>
      </c>
      <c r="H5" s="417">
        <v>91.74</v>
      </c>
      <c r="I5" s="416">
        <v>10.130000000000001</v>
      </c>
      <c r="J5" s="417">
        <v>13.11</v>
      </c>
      <c r="K5" s="668" t="s">
        <v>538</v>
      </c>
      <c r="L5" s="669"/>
      <c r="N5" s="648" t="s">
        <v>542</v>
      </c>
      <c r="O5" s="649"/>
      <c r="P5" s="640" t="s">
        <v>434</v>
      </c>
      <c r="Q5" s="641"/>
      <c r="R5" s="641"/>
      <c r="S5" s="642"/>
      <c r="U5" s="324" t="s">
        <v>433</v>
      </c>
      <c r="V5" s="324" t="s">
        <v>433</v>
      </c>
    </row>
    <row r="6" spans="2:22" ht="20.100000000000001" customHeight="1">
      <c r="B6" s="663"/>
      <c r="C6" s="666"/>
      <c r="D6" s="358" t="s">
        <v>367</v>
      </c>
      <c r="E6" s="359">
        <v>101.27</v>
      </c>
      <c r="F6" s="360">
        <v>131.05000000000001</v>
      </c>
      <c r="G6" s="359">
        <v>70.89</v>
      </c>
      <c r="H6" s="360">
        <v>91.74</v>
      </c>
      <c r="I6" s="359">
        <v>10.130000000000001</v>
      </c>
      <c r="J6" s="360">
        <v>13.11</v>
      </c>
      <c r="K6" s="670"/>
      <c r="L6" s="671"/>
      <c r="N6" s="650"/>
      <c r="O6" s="651"/>
      <c r="P6" s="643" t="s">
        <v>391</v>
      </c>
      <c r="Q6" s="644"/>
      <c r="R6" s="644"/>
      <c r="S6" s="645"/>
      <c r="U6" s="418">
        <f>E5</f>
        <v>101.27</v>
      </c>
      <c r="V6" s="418">
        <f>F5</f>
        <v>131.05000000000001</v>
      </c>
    </row>
    <row r="7" spans="2:22" ht="20.100000000000001" customHeight="1" thickBot="1">
      <c r="B7" s="664"/>
      <c r="C7" s="667"/>
      <c r="D7" s="365" t="s">
        <v>368</v>
      </c>
      <c r="E7" s="419">
        <v>55.7</v>
      </c>
      <c r="F7" s="420">
        <v>72.08</v>
      </c>
      <c r="G7" s="419">
        <v>45.57</v>
      </c>
      <c r="H7" s="420">
        <v>58.97</v>
      </c>
      <c r="I7" s="419">
        <v>10.130000000000001</v>
      </c>
      <c r="J7" s="420">
        <v>13.11</v>
      </c>
      <c r="K7" s="672"/>
      <c r="L7" s="673"/>
      <c r="N7" s="650"/>
      <c r="O7" s="651"/>
      <c r="P7" s="646" t="s">
        <v>375</v>
      </c>
      <c r="Q7" s="647"/>
      <c r="R7" s="646" t="s">
        <v>376</v>
      </c>
      <c r="S7" s="647"/>
      <c r="U7" s="418">
        <f>E7</f>
        <v>55.7</v>
      </c>
      <c r="V7" s="418">
        <f>F7</f>
        <v>72.08</v>
      </c>
    </row>
    <row r="8" spans="2:22" ht="20.100000000000001" customHeight="1">
      <c r="B8" s="662" t="s">
        <v>556</v>
      </c>
      <c r="C8" s="665" t="s">
        <v>553</v>
      </c>
      <c r="D8" s="366" t="s">
        <v>366</v>
      </c>
      <c r="E8" s="416">
        <v>101.27</v>
      </c>
      <c r="F8" s="417">
        <v>131.05000000000001</v>
      </c>
      <c r="G8" s="416">
        <v>101.27</v>
      </c>
      <c r="H8" s="417">
        <v>131.05000000000001</v>
      </c>
      <c r="I8" s="416">
        <v>30.38</v>
      </c>
      <c r="J8" s="417">
        <v>39.32</v>
      </c>
      <c r="K8" s="421">
        <v>20.25</v>
      </c>
      <c r="L8" s="422">
        <v>26.21</v>
      </c>
      <c r="N8" s="652"/>
      <c r="O8" s="653"/>
      <c r="P8" s="368" t="s">
        <v>377</v>
      </c>
      <c r="Q8" s="368" t="s">
        <v>380</v>
      </c>
      <c r="R8" s="368" t="s">
        <v>377</v>
      </c>
      <c r="S8" s="368" t="s">
        <v>380</v>
      </c>
      <c r="U8" s="418">
        <f>E10</f>
        <v>60.76</v>
      </c>
      <c r="V8" s="418">
        <f>F10</f>
        <v>78.63</v>
      </c>
    </row>
    <row r="9" spans="2:22" ht="20.100000000000001" customHeight="1">
      <c r="B9" s="663"/>
      <c r="C9" s="666"/>
      <c r="D9" s="361" t="s">
        <v>367</v>
      </c>
      <c r="E9" s="359">
        <v>101.27</v>
      </c>
      <c r="F9" s="360">
        <v>131.05000000000001</v>
      </c>
      <c r="G9" s="359">
        <v>101.27</v>
      </c>
      <c r="H9" s="360">
        <v>131.05000000000001</v>
      </c>
      <c r="I9" s="359">
        <v>30.38</v>
      </c>
      <c r="J9" s="360">
        <v>39.32</v>
      </c>
      <c r="K9" s="359">
        <v>20.25</v>
      </c>
      <c r="L9" s="360">
        <v>26.21</v>
      </c>
      <c r="N9" s="655" t="s">
        <v>378</v>
      </c>
      <c r="O9" s="656"/>
      <c r="P9" s="507">
        <f>E5*0.02</f>
        <v>2.0253999999999999</v>
      </c>
      <c r="Q9" s="507">
        <f>F5*0.02</f>
        <v>2.6210000000000004</v>
      </c>
      <c r="R9" s="507">
        <f>E7*0.02</f>
        <v>1.1140000000000001</v>
      </c>
      <c r="S9" s="507">
        <f>F7*0.02</f>
        <v>1.4416</v>
      </c>
      <c r="U9" s="418">
        <f>E11</f>
        <v>24.3</v>
      </c>
      <c r="V9" s="418">
        <f>F11</f>
        <v>7.09</v>
      </c>
    </row>
    <row r="10" spans="2:22" ht="20.100000000000001" customHeight="1" thickBot="1">
      <c r="B10" s="664"/>
      <c r="C10" s="667"/>
      <c r="D10" s="367" t="s">
        <v>368</v>
      </c>
      <c r="E10" s="419">
        <v>60.76</v>
      </c>
      <c r="F10" s="420">
        <v>78.63</v>
      </c>
      <c r="G10" s="419">
        <v>50.63</v>
      </c>
      <c r="H10" s="420">
        <v>65.53</v>
      </c>
      <c r="I10" s="419">
        <v>30.38</v>
      </c>
      <c r="J10" s="420">
        <v>39.32</v>
      </c>
      <c r="K10" s="419">
        <v>20.25</v>
      </c>
      <c r="L10" s="420">
        <v>26.21</v>
      </c>
      <c r="N10" s="655" t="s">
        <v>379</v>
      </c>
      <c r="O10" s="656"/>
      <c r="P10" s="507">
        <f>E8*0.02</f>
        <v>2.0253999999999999</v>
      </c>
      <c r="Q10" s="507">
        <f>F8*0.02</f>
        <v>2.6210000000000004</v>
      </c>
      <c r="R10" s="507">
        <f>E10*0.02</f>
        <v>1.2152000000000001</v>
      </c>
      <c r="S10" s="507">
        <f>F10*0.02</f>
        <v>1.5726</v>
      </c>
      <c r="U10" s="418">
        <f>E13</f>
        <v>14.58</v>
      </c>
      <c r="V10" s="418">
        <f>F13</f>
        <v>4.25</v>
      </c>
    </row>
    <row r="11" spans="2:22" ht="20.100000000000001" customHeight="1">
      <c r="B11" s="662" t="s">
        <v>369</v>
      </c>
      <c r="C11" s="665" t="s">
        <v>370</v>
      </c>
      <c r="D11" s="366" t="s">
        <v>366</v>
      </c>
      <c r="E11" s="416">
        <v>24.3</v>
      </c>
      <c r="F11" s="417">
        <v>7.09</v>
      </c>
      <c r="G11" s="416">
        <v>24.3</v>
      </c>
      <c r="H11" s="417">
        <v>7.09</v>
      </c>
      <c r="I11" s="416">
        <v>7.29</v>
      </c>
      <c r="J11" s="417">
        <v>2.13</v>
      </c>
      <c r="M11" s="369"/>
      <c r="N11" s="655" t="s">
        <v>436</v>
      </c>
      <c r="O11" s="656"/>
      <c r="P11" s="507">
        <f>E11*0.02</f>
        <v>0.48600000000000004</v>
      </c>
      <c r="Q11" s="507">
        <f>F11*0.02</f>
        <v>0.14180000000000001</v>
      </c>
      <c r="R11" s="507">
        <f>E13*0.02</f>
        <v>0.29160000000000003</v>
      </c>
      <c r="S11" s="507">
        <f>F13*0.02</f>
        <v>8.5000000000000006E-2</v>
      </c>
      <c r="U11" s="423" t="s">
        <v>435</v>
      </c>
      <c r="V11" s="423" t="s">
        <v>435</v>
      </c>
    </row>
    <row r="12" spans="2:22" ht="20.100000000000001" customHeight="1">
      <c r="B12" s="663"/>
      <c r="C12" s="666"/>
      <c r="D12" s="361" t="s">
        <v>367</v>
      </c>
      <c r="E12" s="359">
        <v>24.3</v>
      </c>
      <c r="F12" s="360">
        <v>7.09</v>
      </c>
      <c r="G12" s="359">
        <v>24.3</v>
      </c>
      <c r="H12" s="360">
        <v>7.09</v>
      </c>
      <c r="I12" s="359">
        <v>7.29</v>
      </c>
      <c r="J12" s="360">
        <v>2.13</v>
      </c>
      <c r="M12" s="369"/>
      <c r="U12" s="418">
        <f>G5</f>
        <v>70.89</v>
      </c>
      <c r="V12" s="418">
        <f>H5</f>
        <v>91.74</v>
      </c>
    </row>
    <row r="13" spans="2:22" ht="20.100000000000001" customHeight="1" thickBot="1">
      <c r="B13" s="664"/>
      <c r="C13" s="667"/>
      <c r="D13" s="367" t="s">
        <v>368</v>
      </c>
      <c r="E13" s="419">
        <v>14.58</v>
      </c>
      <c r="F13" s="420">
        <v>4.25</v>
      </c>
      <c r="G13" s="419">
        <v>12.15</v>
      </c>
      <c r="H13" s="420">
        <v>3.54</v>
      </c>
      <c r="I13" s="419">
        <v>7.29</v>
      </c>
      <c r="J13" s="420">
        <v>2.13</v>
      </c>
      <c r="M13" s="369"/>
      <c r="U13" s="418">
        <f>G7</f>
        <v>45.57</v>
      </c>
      <c r="V13" s="418">
        <f>H7</f>
        <v>58.97</v>
      </c>
    </row>
    <row r="14" spans="2:22" ht="20.100000000000001" customHeight="1">
      <c r="B14" s="362"/>
      <c r="C14" s="363"/>
      <c r="E14" s="357"/>
      <c r="F14" s="357"/>
      <c r="G14" s="357"/>
      <c r="H14" s="357"/>
      <c r="I14" s="357"/>
      <c r="J14" s="357"/>
      <c r="N14" s="648" t="s">
        <v>543</v>
      </c>
      <c r="O14" s="649"/>
      <c r="P14" s="640" t="s">
        <v>390</v>
      </c>
      <c r="Q14" s="641"/>
      <c r="R14" s="641"/>
      <c r="S14" s="642"/>
      <c r="U14" s="418">
        <f>G8</f>
        <v>101.27</v>
      </c>
      <c r="V14" s="418">
        <f>H8</f>
        <v>131.05000000000001</v>
      </c>
    </row>
    <row r="15" spans="2:22" ht="20.100000000000001" customHeight="1" thickBot="1">
      <c r="B15" s="362"/>
      <c r="C15" s="363"/>
      <c r="E15" s="357"/>
      <c r="F15" s="357"/>
      <c r="G15" s="357"/>
      <c r="H15" s="357"/>
      <c r="I15" s="357"/>
      <c r="J15" s="357"/>
      <c r="N15" s="650"/>
      <c r="O15" s="651"/>
      <c r="P15" s="643" t="s">
        <v>391</v>
      </c>
      <c r="Q15" s="644"/>
      <c r="R15" s="644"/>
      <c r="S15" s="645"/>
      <c r="U15" s="418">
        <f>G10</f>
        <v>50.63</v>
      </c>
      <c r="V15" s="418">
        <f>H10</f>
        <v>65.53</v>
      </c>
    </row>
    <row r="16" spans="2:22" ht="20.100000000000001" customHeight="1">
      <c r="B16" s="362"/>
      <c r="C16" s="363"/>
      <c r="E16" s="626" t="s">
        <v>454</v>
      </c>
      <c r="F16" s="627"/>
      <c r="G16" s="627"/>
      <c r="H16" s="627"/>
      <c r="I16" s="627"/>
      <c r="J16" s="627"/>
      <c r="K16" s="627"/>
      <c r="L16" s="628"/>
      <c r="N16" s="650"/>
      <c r="O16" s="651"/>
      <c r="P16" s="646" t="s">
        <v>392</v>
      </c>
      <c r="Q16" s="647"/>
      <c r="R16" s="646" t="s">
        <v>393</v>
      </c>
      <c r="S16" s="647"/>
      <c r="U16" s="418">
        <f>G11</f>
        <v>24.3</v>
      </c>
      <c r="V16" s="418">
        <f>H11</f>
        <v>7.09</v>
      </c>
    </row>
    <row r="17" spans="2:22" ht="20.100000000000001" customHeight="1">
      <c r="E17" s="629" t="s">
        <v>368</v>
      </c>
      <c r="F17" s="630"/>
      <c r="G17" s="630"/>
      <c r="H17" s="630"/>
      <c r="I17" s="631" t="s">
        <v>366</v>
      </c>
      <c r="J17" s="630"/>
      <c r="K17" s="630"/>
      <c r="L17" s="632"/>
      <c r="N17" s="652"/>
      <c r="O17" s="653"/>
      <c r="P17" s="654" t="s">
        <v>544</v>
      </c>
      <c r="Q17" s="647"/>
      <c r="R17" s="654" t="s">
        <v>545</v>
      </c>
      <c r="S17" s="647"/>
      <c r="U17" s="418">
        <f>G13</f>
        <v>12.15</v>
      </c>
      <c r="V17" s="418">
        <f>H13</f>
        <v>3.54</v>
      </c>
    </row>
    <row r="18" spans="2:22" ht="39.950000000000003" customHeight="1">
      <c r="E18" s="424" t="s">
        <v>371</v>
      </c>
      <c r="F18" s="425" t="s">
        <v>372</v>
      </c>
      <c r="G18" s="425" t="s">
        <v>373</v>
      </c>
      <c r="H18" s="425" t="s">
        <v>374</v>
      </c>
      <c r="I18" s="426" t="s">
        <v>371</v>
      </c>
      <c r="J18" s="425" t="s">
        <v>372</v>
      </c>
      <c r="K18" s="425" t="s">
        <v>373</v>
      </c>
      <c r="L18" s="427" t="s">
        <v>374</v>
      </c>
      <c r="N18" s="655" t="s">
        <v>436</v>
      </c>
      <c r="O18" s="656"/>
      <c r="P18" s="657">
        <f>Q3*0.02</f>
        <v>9.5399999999999999E-2</v>
      </c>
      <c r="Q18" s="658"/>
      <c r="R18" s="657">
        <f>R3*0.02</f>
        <v>7.1400000000000005E-2</v>
      </c>
      <c r="S18" s="658"/>
      <c r="U18" s="324" t="s">
        <v>437</v>
      </c>
      <c r="V18" s="324" t="s">
        <v>437</v>
      </c>
    </row>
    <row r="19" spans="2:22" ht="39.950000000000003" customHeight="1">
      <c r="E19" s="428" t="s">
        <v>372</v>
      </c>
      <c r="F19" s="429"/>
      <c r="G19" s="430">
        <f>E10-E7</f>
        <v>5.0599999999999952</v>
      </c>
      <c r="H19" s="429"/>
      <c r="I19" s="425" t="s">
        <v>372</v>
      </c>
      <c r="J19" s="429"/>
      <c r="K19" s="430">
        <f>E8-E5</f>
        <v>0</v>
      </c>
      <c r="L19" s="431"/>
      <c r="U19" s="418">
        <f>I5</f>
        <v>10.130000000000001</v>
      </c>
      <c r="V19" s="418">
        <f>J5</f>
        <v>13.11</v>
      </c>
    </row>
    <row r="20" spans="2:22" ht="39.950000000000003" customHeight="1">
      <c r="E20" s="428" t="s">
        <v>373</v>
      </c>
      <c r="F20" s="429"/>
      <c r="G20" s="429"/>
      <c r="H20" s="429"/>
      <c r="I20" s="425" t="s">
        <v>373</v>
      </c>
      <c r="J20" s="429"/>
      <c r="K20" s="429"/>
      <c r="L20" s="431"/>
      <c r="S20" s="357"/>
      <c r="U20" s="418">
        <f>I8</f>
        <v>30.38</v>
      </c>
      <c r="V20" s="418">
        <f>J8</f>
        <v>39.32</v>
      </c>
    </row>
    <row r="21" spans="2:22" ht="39.950000000000003" customHeight="1">
      <c r="C21" s="506" t="s">
        <v>535</v>
      </c>
      <c r="E21" s="428" t="s">
        <v>374</v>
      </c>
      <c r="F21" s="430">
        <f>E7-E13</f>
        <v>41.120000000000005</v>
      </c>
      <c r="G21" s="430">
        <f>E10-E13</f>
        <v>46.18</v>
      </c>
      <c r="H21" s="429"/>
      <c r="I21" s="425" t="s">
        <v>374</v>
      </c>
      <c r="J21" s="430">
        <f>E5-E11</f>
        <v>76.97</v>
      </c>
      <c r="K21" s="430">
        <f>E8-E11</f>
        <v>76.97</v>
      </c>
      <c r="L21" s="432"/>
      <c r="S21" s="357"/>
      <c r="U21" s="418">
        <f>I11</f>
        <v>7.29</v>
      </c>
      <c r="V21" s="418">
        <f>J11</f>
        <v>2.13</v>
      </c>
    </row>
    <row r="22" spans="2:22" ht="20.100000000000001" customHeight="1">
      <c r="C22" s="490" t="s">
        <v>519</v>
      </c>
      <c r="E22" s="433"/>
      <c r="F22" s="196"/>
      <c r="L22" s="434"/>
      <c r="N22" s="435"/>
      <c r="U22" s="324" t="s">
        <v>475</v>
      </c>
      <c r="V22" s="324" t="s">
        <v>475</v>
      </c>
    </row>
    <row r="23" spans="2:22" ht="20.100000000000001" customHeight="1">
      <c r="B23" s="362"/>
      <c r="C23" s="363"/>
      <c r="E23" s="659" t="s">
        <v>455</v>
      </c>
      <c r="F23" s="660"/>
      <c r="G23" s="660"/>
      <c r="H23" s="660"/>
      <c r="I23" s="660"/>
      <c r="J23" s="660"/>
      <c r="K23" s="660"/>
      <c r="L23" s="661"/>
      <c r="N23" s="435"/>
      <c r="U23" s="418">
        <f>K8</f>
        <v>20.25</v>
      </c>
      <c r="V23" s="418">
        <f>L8</f>
        <v>26.21</v>
      </c>
    </row>
    <row r="24" spans="2:22" ht="20.100000000000001" customHeight="1">
      <c r="E24" s="629" t="s">
        <v>368</v>
      </c>
      <c r="F24" s="630"/>
      <c r="G24" s="630"/>
      <c r="H24" s="630"/>
      <c r="I24" s="631" t="s">
        <v>366</v>
      </c>
      <c r="J24" s="630"/>
      <c r="K24" s="630"/>
      <c r="L24" s="632"/>
      <c r="S24" s="357"/>
      <c r="U24" s="324" t="s">
        <v>438</v>
      </c>
      <c r="V24" s="324" t="s">
        <v>438</v>
      </c>
    </row>
    <row r="25" spans="2:22" ht="39.950000000000003" customHeight="1">
      <c r="E25" s="424" t="s">
        <v>371</v>
      </c>
      <c r="F25" s="425" t="s">
        <v>372</v>
      </c>
      <c r="G25" s="425" t="s">
        <v>373</v>
      </c>
      <c r="H25" s="425" t="s">
        <v>374</v>
      </c>
      <c r="I25" s="426" t="s">
        <v>371</v>
      </c>
      <c r="J25" s="425" t="s">
        <v>372</v>
      </c>
      <c r="K25" s="425" t="s">
        <v>373</v>
      </c>
      <c r="L25" s="427" t="s">
        <v>374</v>
      </c>
      <c r="U25" s="418">
        <f>K19</f>
        <v>0</v>
      </c>
      <c r="V25" s="418">
        <f>K26</f>
        <v>0</v>
      </c>
    </row>
    <row r="26" spans="2:22" ht="39.950000000000003" customHeight="1">
      <c r="E26" s="428" t="s">
        <v>372</v>
      </c>
      <c r="F26" s="429"/>
      <c r="G26" s="430">
        <f>F10-F7</f>
        <v>6.5499999999999972</v>
      </c>
      <c r="H26" s="429"/>
      <c r="I26" s="425" t="s">
        <v>372</v>
      </c>
      <c r="J26" s="429"/>
      <c r="K26" s="430">
        <f>F8-F5</f>
        <v>0</v>
      </c>
      <c r="L26" s="431"/>
      <c r="U26" s="418">
        <f>G19</f>
        <v>5.0599999999999952</v>
      </c>
      <c r="V26" s="418">
        <f>G26</f>
        <v>6.5499999999999972</v>
      </c>
    </row>
    <row r="27" spans="2:22" ht="39.950000000000003" customHeight="1">
      <c r="E27" s="428" t="s">
        <v>373</v>
      </c>
      <c r="F27" s="429"/>
      <c r="G27" s="429"/>
      <c r="H27" s="429"/>
      <c r="I27" s="425" t="s">
        <v>373</v>
      </c>
      <c r="J27" s="429"/>
      <c r="K27" s="429"/>
      <c r="L27" s="431"/>
      <c r="U27" s="418">
        <f>F21</f>
        <v>41.120000000000005</v>
      </c>
      <c r="V27" s="418">
        <f>F28</f>
        <v>67.83</v>
      </c>
    </row>
    <row r="28" spans="2:22" ht="39.950000000000003" customHeight="1" thickBot="1">
      <c r="E28" s="436" t="s">
        <v>374</v>
      </c>
      <c r="F28" s="437">
        <f>F7-F13</f>
        <v>67.83</v>
      </c>
      <c r="G28" s="437">
        <f>F10-F13</f>
        <v>74.38</v>
      </c>
      <c r="H28" s="438"/>
      <c r="I28" s="439" t="s">
        <v>374</v>
      </c>
      <c r="J28" s="437">
        <f>F5-F11</f>
        <v>123.96000000000001</v>
      </c>
      <c r="K28" s="437">
        <f>F8-F11</f>
        <v>123.96000000000001</v>
      </c>
      <c r="L28" s="440"/>
      <c r="U28" s="418">
        <f>G21</f>
        <v>46.18</v>
      </c>
      <c r="V28" s="418">
        <f>G28</f>
        <v>74.38</v>
      </c>
    </row>
    <row r="29" spans="2:22" ht="20.100000000000001" customHeight="1" thickBot="1">
      <c r="E29" s="478"/>
      <c r="F29" s="478"/>
      <c r="G29" s="478"/>
      <c r="H29" s="478"/>
      <c r="I29" s="478"/>
      <c r="J29" s="478"/>
      <c r="K29" s="478"/>
      <c r="L29" s="478"/>
      <c r="U29" s="418">
        <f>J21</f>
        <v>76.97</v>
      </c>
      <c r="V29" s="418">
        <f>J28</f>
        <v>123.96000000000001</v>
      </c>
    </row>
    <row r="30" spans="2:22" ht="20.100000000000001" customHeight="1" thickBot="1">
      <c r="U30" s="324" t="s">
        <v>439</v>
      </c>
      <c r="V30" s="324" t="s">
        <v>439</v>
      </c>
    </row>
    <row r="31" spans="2:22" ht="20.100000000000001" customHeight="1">
      <c r="E31" s="626" t="s">
        <v>549</v>
      </c>
      <c r="F31" s="627"/>
      <c r="G31" s="627"/>
      <c r="H31" s="627"/>
      <c r="I31" s="627"/>
      <c r="J31" s="627"/>
      <c r="K31" s="627"/>
      <c r="L31" s="628"/>
      <c r="U31" s="418">
        <f>G34</f>
        <v>35.44</v>
      </c>
      <c r="V31" s="418">
        <f>K41</f>
        <v>39.32</v>
      </c>
    </row>
    <row r="32" spans="2:22" ht="20.100000000000001" customHeight="1">
      <c r="E32" s="629" t="s">
        <v>368</v>
      </c>
      <c r="F32" s="630"/>
      <c r="G32" s="630"/>
      <c r="H32" s="630"/>
      <c r="I32" s="631" t="s">
        <v>366</v>
      </c>
      <c r="J32" s="630"/>
      <c r="K32" s="630"/>
      <c r="L32" s="632"/>
      <c r="U32" s="418">
        <f>K34</f>
        <v>30.38</v>
      </c>
      <c r="V32" s="418">
        <f>G41</f>
        <v>45.87</v>
      </c>
    </row>
    <row r="33" spans="2:22" ht="39.950000000000003" customHeight="1">
      <c r="E33" s="424" t="s">
        <v>371</v>
      </c>
      <c r="F33" s="425" t="s">
        <v>372</v>
      </c>
      <c r="G33" s="425" t="s">
        <v>501</v>
      </c>
      <c r="H33" s="425" t="s">
        <v>374</v>
      </c>
      <c r="I33" s="426" t="s">
        <v>371</v>
      </c>
      <c r="J33" s="425" t="s">
        <v>372</v>
      </c>
      <c r="K33" s="425" t="s">
        <v>501</v>
      </c>
      <c r="L33" s="427" t="s">
        <v>374</v>
      </c>
      <c r="U33" s="418">
        <f>F36</f>
        <v>45.57</v>
      </c>
      <c r="V33" s="418">
        <f>F43</f>
        <v>58.97</v>
      </c>
    </row>
    <row r="34" spans="2:22" ht="39.950000000000003" customHeight="1">
      <c r="E34" s="428" t="s">
        <v>372</v>
      </c>
      <c r="F34" s="429" t="s">
        <v>533</v>
      </c>
      <c r="G34" s="441">
        <f>G19+I10</f>
        <v>35.44</v>
      </c>
      <c r="H34" s="429" t="s">
        <v>533</v>
      </c>
      <c r="I34" s="425" t="s">
        <v>372</v>
      </c>
      <c r="J34" s="429" t="s">
        <v>533</v>
      </c>
      <c r="K34" s="441">
        <f>K19+I8</f>
        <v>30.38</v>
      </c>
      <c r="L34" s="429" t="s">
        <v>533</v>
      </c>
      <c r="U34" s="418">
        <f>G36</f>
        <v>50.63</v>
      </c>
      <c r="V34" s="418">
        <f>G43</f>
        <v>65.53</v>
      </c>
    </row>
    <row r="35" spans="2:22" ht="39.950000000000003" customHeight="1">
      <c r="E35" s="428" t="s">
        <v>373</v>
      </c>
      <c r="F35" s="429" t="s">
        <v>533</v>
      </c>
      <c r="G35" s="429" t="s">
        <v>533</v>
      </c>
      <c r="H35" s="429" t="s">
        <v>533</v>
      </c>
      <c r="I35" s="425" t="s">
        <v>373</v>
      </c>
      <c r="J35" s="429" t="s">
        <v>533</v>
      </c>
      <c r="K35" s="429" t="s">
        <v>533</v>
      </c>
      <c r="L35" s="429" t="s">
        <v>533</v>
      </c>
      <c r="U35" s="418">
        <f>J36</f>
        <v>70.89</v>
      </c>
      <c r="V35" s="418">
        <f>J43</f>
        <v>91.74</v>
      </c>
    </row>
    <row r="36" spans="2:22" ht="39.950000000000003" customHeight="1">
      <c r="B36" s="505" t="s">
        <v>535</v>
      </c>
      <c r="E36" s="428" t="s">
        <v>374</v>
      </c>
      <c r="F36" s="442">
        <f>G7</f>
        <v>45.57</v>
      </c>
      <c r="G36" s="442">
        <f>G10</f>
        <v>50.63</v>
      </c>
      <c r="H36" s="429" t="s">
        <v>533</v>
      </c>
      <c r="I36" s="425" t="s">
        <v>374</v>
      </c>
      <c r="J36" s="442">
        <f>G5</f>
        <v>70.89</v>
      </c>
      <c r="K36" s="442">
        <f>G8</f>
        <v>101.27</v>
      </c>
      <c r="L36" s="429" t="s">
        <v>533</v>
      </c>
      <c r="U36" s="418">
        <f>K36</f>
        <v>101.27</v>
      </c>
      <c r="V36" s="418">
        <f>K43</f>
        <v>131.05000000000001</v>
      </c>
    </row>
    <row r="37" spans="2:22" ht="20.100000000000001" customHeight="1" thickBot="1">
      <c r="B37" s="491" t="s">
        <v>520</v>
      </c>
      <c r="C37" s="490"/>
      <c r="E37" s="433"/>
      <c r="F37" s="196"/>
      <c r="L37" s="434"/>
      <c r="N37" s="633"/>
      <c r="O37" s="634"/>
      <c r="P37" s="635"/>
      <c r="Q37" s="636"/>
      <c r="R37" s="636"/>
      <c r="S37" s="636"/>
      <c r="U37" s="324" t="s">
        <v>546</v>
      </c>
      <c r="V37" s="324" t="s">
        <v>546</v>
      </c>
    </row>
    <row r="38" spans="2:22" ht="20.100000000000001" customHeight="1">
      <c r="E38" s="626" t="s">
        <v>472</v>
      </c>
      <c r="F38" s="638"/>
      <c r="G38" s="638"/>
      <c r="H38" s="638"/>
      <c r="I38" s="638"/>
      <c r="J38" s="638"/>
      <c r="K38" s="638"/>
      <c r="L38" s="639"/>
      <c r="N38" s="634"/>
      <c r="O38" s="634"/>
      <c r="P38" s="635"/>
      <c r="Q38" s="635"/>
      <c r="R38" s="635"/>
      <c r="S38" s="635"/>
      <c r="U38" s="418">
        <f>K49</f>
        <v>20.25</v>
      </c>
      <c r="V38" s="418">
        <f>K56</f>
        <v>26.21</v>
      </c>
    </row>
    <row r="39" spans="2:22" ht="20.100000000000001" customHeight="1">
      <c r="B39" s="196" t="s">
        <v>551</v>
      </c>
      <c r="E39" s="629" t="s">
        <v>368</v>
      </c>
      <c r="F39" s="630"/>
      <c r="G39" s="630"/>
      <c r="H39" s="630"/>
      <c r="I39" s="631" t="s">
        <v>366</v>
      </c>
      <c r="J39" s="630"/>
      <c r="K39" s="630"/>
      <c r="L39" s="632"/>
      <c r="N39" s="634"/>
      <c r="O39" s="634"/>
      <c r="P39" s="637"/>
      <c r="Q39" s="636"/>
      <c r="R39" s="637"/>
      <c r="S39" s="636"/>
      <c r="U39" s="418">
        <f>G49</f>
        <v>25.309999999999995</v>
      </c>
      <c r="V39" s="418">
        <f>G56</f>
        <v>32.76</v>
      </c>
    </row>
    <row r="40" spans="2:22" ht="39.950000000000003" customHeight="1">
      <c r="B40" s="196" t="s">
        <v>536</v>
      </c>
      <c r="E40" s="424" t="s">
        <v>371</v>
      </c>
      <c r="F40" s="425" t="s">
        <v>372</v>
      </c>
      <c r="G40" s="425" t="s">
        <v>501</v>
      </c>
      <c r="H40" s="425" t="s">
        <v>374</v>
      </c>
      <c r="I40" s="426" t="s">
        <v>371</v>
      </c>
      <c r="J40" s="425" t="s">
        <v>372</v>
      </c>
      <c r="K40" s="425" t="s">
        <v>501</v>
      </c>
      <c r="L40" s="427" t="s">
        <v>374</v>
      </c>
      <c r="N40" s="634"/>
      <c r="O40" s="634"/>
      <c r="P40" s="256"/>
      <c r="Q40" s="256"/>
      <c r="R40" s="256"/>
      <c r="S40" s="256"/>
      <c r="U40" s="418">
        <f>G51</f>
        <v>50.63</v>
      </c>
      <c r="V40" s="418">
        <f>G58</f>
        <v>65.53</v>
      </c>
    </row>
    <row r="41" spans="2:22" ht="39.950000000000003" customHeight="1">
      <c r="E41" s="428" t="s">
        <v>372</v>
      </c>
      <c r="F41" s="429" t="s">
        <v>533</v>
      </c>
      <c r="G41" s="441">
        <f>G26+J10</f>
        <v>45.87</v>
      </c>
      <c r="H41" s="429" t="s">
        <v>533</v>
      </c>
      <c r="I41" s="425" t="s">
        <v>372</v>
      </c>
      <c r="J41" s="429" t="s">
        <v>533</v>
      </c>
      <c r="K41" s="441">
        <f>K26+J8</f>
        <v>39.32</v>
      </c>
      <c r="L41" s="429" t="s">
        <v>533</v>
      </c>
      <c r="N41" s="624"/>
      <c r="O41" s="625"/>
      <c r="P41" s="256"/>
      <c r="Q41" s="256"/>
      <c r="R41" s="256"/>
      <c r="S41" s="256"/>
      <c r="U41" s="418">
        <f>K51</f>
        <v>97.22</v>
      </c>
      <c r="V41" s="418">
        <f>K58</f>
        <v>131.05000000000001</v>
      </c>
    </row>
    <row r="42" spans="2:22" ht="39.950000000000003" customHeight="1">
      <c r="E42" s="428" t="s">
        <v>373</v>
      </c>
      <c r="F42" s="429" t="s">
        <v>533</v>
      </c>
      <c r="G42" s="429" t="s">
        <v>533</v>
      </c>
      <c r="H42" s="429" t="s">
        <v>533</v>
      </c>
      <c r="I42" s="425" t="s">
        <v>373</v>
      </c>
      <c r="J42" s="429" t="s">
        <v>533</v>
      </c>
      <c r="K42" s="429" t="s">
        <v>533</v>
      </c>
      <c r="L42" s="429" t="s">
        <v>533</v>
      </c>
      <c r="P42" s="256"/>
      <c r="Q42" s="256"/>
      <c r="R42" s="256"/>
      <c r="S42" s="256"/>
      <c r="U42" s="324" t="s">
        <v>440</v>
      </c>
      <c r="V42" s="324" t="s">
        <v>440</v>
      </c>
    </row>
    <row r="43" spans="2:22" ht="39.950000000000003" customHeight="1" thickBot="1">
      <c r="E43" s="436" t="s">
        <v>374</v>
      </c>
      <c r="F43" s="443">
        <f>H7</f>
        <v>58.97</v>
      </c>
      <c r="G43" s="443">
        <f>H10</f>
        <v>65.53</v>
      </c>
      <c r="H43" s="429" t="s">
        <v>533</v>
      </c>
      <c r="I43" s="439" t="s">
        <v>374</v>
      </c>
      <c r="J43" s="443">
        <f>H5</f>
        <v>91.74</v>
      </c>
      <c r="K43" s="443">
        <f>H8</f>
        <v>131.05000000000001</v>
      </c>
      <c r="L43" s="429" t="s">
        <v>533</v>
      </c>
      <c r="U43" s="418">
        <f>R11</f>
        <v>0.29160000000000003</v>
      </c>
      <c r="V43" s="418">
        <f>S11</f>
        <v>8.5000000000000006E-2</v>
      </c>
    </row>
    <row r="44" spans="2:22" ht="15.75" thickBot="1">
      <c r="E44" s="478"/>
      <c r="F44" s="478"/>
      <c r="G44" s="478"/>
      <c r="H44" s="478"/>
      <c r="I44" s="478"/>
      <c r="J44" s="478"/>
      <c r="K44" s="478"/>
      <c r="L44" s="478"/>
      <c r="U44" s="418">
        <f>P11</f>
        <v>0.48600000000000004</v>
      </c>
      <c r="V44" s="418">
        <f>Q11</f>
        <v>0.14180000000000001</v>
      </c>
    </row>
    <row r="45" spans="2:22" ht="15.75" thickBot="1">
      <c r="U45" s="418">
        <f>R9</f>
        <v>1.1140000000000001</v>
      </c>
      <c r="V45" s="418">
        <f>S9</f>
        <v>1.4416</v>
      </c>
    </row>
    <row r="46" spans="2:22" ht="20.100000000000001" customHeight="1">
      <c r="E46" s="626" t="s">
        <v>473</v>
      </c>
      <c r="F46" s="627"/>
      <c r="G46" s="627"/>
      <c r="H46" s="627"/>
      <c r="I46" s="627"/>
      <c r="J46" s="627"/>
      <c r="K46" s="627"/>
      <c r="L46" s="628"/>
      <c r="U46" s="418">
        <f>R10</f>
        <v>1.2152000000000001</v>
      </c>
      <c r="V46" s="418">
        <f>S10</f>
        <v>1.5726</v>
      </c>
    </row>
    <row r="47" spans="2:22" ht="20.100000000000001" customHeight="1">
      <c r="E47" s="629" t="s">
        <v>368</v>
      </c>
      <c r="F47" s="630"/>
      <c r="G47" s="630"/>
      <c r="H47" s="630"/>
      <c r="I47" s="631" t="s">
        <v>366</v>
      </c>
      <c r="J47" s="630"/>
      <c r="K47" s="630"/>
      <c r="L47" s="632"/>
      <c r="U47" s="418">
        <f>P10</f>
        <v>2.0253999999999999</v>
      </c>
      <c r="V47" s="418">
        <f>Q9</f>
        <v>2.6210000000000004</v>
      </c>
    </row>
    <row r="48" spans="2:22" ht="39.950000000000003" customHeight="1">
      <c r="E48" s="424" t="s">
        <v>371</v>
      </c>
      <c r="F48" s="425" t="s">
        <v>372</v>
      </c>
      <c r="G48" s="444" t="s">
        <v>550</v>
      </c>
      <c r="H48" s="425" t="s">
        <v>374</v>
      </c>
      <c r="I48" s="426" t="s">
        <v>371</v>
      </c>
      <c r="J48" s="425" t="s">
        <v>372</v>
      </c>
      <c r="K48" s="444" t="s">
        <v>550</v>
      </c>
      <c r="L48" s="427" t="s">
        <v>374</v>
      </c>
      <c r="U48" s="357"/>
      <c r="V48" s="357"/>
    </row>
    <row r="49" spans="2:22" ht="39.950000000000003" customHeight="1">
      <c r="E49" s="428" t="s">
        <v>372</v>
      </c>
      <c r="F49" s="429"/>
      <c r="G49" s="441">
        <f>G19+K10</f>
        <v>25.309999999999995</v>
      </c>
      <c r="H49" s="429"/>
      <c r="I49" s="425" t="s">
        <v>372</v>
      </c>
      <c r="J49" s="429"/>
      <c r="K49" s="441">
        <f>K19+K8</f>
        <v>20.25</v>
      </c>
      <c r="L49" s="431"/>
      <c r="U49" s="324" t="s">
        <v>441</v>
      </c>
      <c r="V49" s="324" t="s">
        <v>442</v>
      </c>
    </row>
    <row r="50" spans="2:22" ht="39.950000000000003" customHeight="1">
      <c r="E50" s="428" t="s">
        <v>373</v>
      </c>
      <c r="F50" s="429"/>
      <c r="G50" s="429" t="s">
        <v>533</v>
      </c>
      <c r="H50" s="429"/>
      <c r="I50" s="425" t="s">
        <v>373</v>
      </c>
      <c r="J50" s="429"/>
      <c r="K50" s="429" t="s">
        <v>534</v>
      </c>
      <c r="L50" s="431"/>
      <c r="U50" s="418">
        <f>Q3</f>
        <v>4.7699999999999996</v>
      </c>
      <c r="V50" s="418">
        <f>R3</f>
        <v>3.57</v>
      </c>
    </row>
    <row r="51" spans="2:22" ht="39.950000000000003" customHeight="1">
      <c r="B51" s="505" t="s">
        <v>535</v>
      </c>
      <c r="E51" s="428" t="s">
        <v>374</v>
      </c>
      <c r="F51" s="429"/>
      <c r="G51" s="442">
        <f>G10</f>
        <v>50.63</v>
      </c>
      <c r="H51" s="429"/>
      <c r="I51" s="425" t="s">
        <v>374</v>
      </c>
      <c r="J51" s="445"/>
      <c r="K51" s="441">
        <f>K21+K8</f>
        <v>97.22</v>
      </c>
      <c r="L51" s="432"/>
      <c r="U51" s="324" t="s">
        <v>443</v>
      </c>
      <c r="V51" s="324" t="s">
        <v>444</v>
      </c>
    </row>
    <row r="52" spans="2:22" ht="20.100000000000001" customHeight="1" thickBot="1">
      <c r="B52" s="491" t="s">
        <v>520</v>
      </c>
      <c r="E52" s="433"/>
      <c r="F52" s="196"/>
      <c r="L52" s="434"/>
      <c r="U52" s="418">
        <f>P18</f>
        <v>9.5399999999999999E-2</v>
      </c>
      <c r="V52" s="418">
        <f>R18</f>
        <v>7.1400000000000005E-2</v>
      </c>
    </row>
    <row r="53" spans="2:22" ht="20.100000000000001" customHeight="1">
      <c r="E53" s="626" t="s">
        <v>474</v>
      </c>
      <c r="F53" s="627"/>
      <c r="G53" s="627"/>
      <c r="H53" s="627"/>
      <c r="I53" s="627"/>
      <c r="J53" s="627"/>
      <c r="K53" s="627"/>
      <c r="L53" s="628"/>
    </row>
    <row r="54" spans="2:22" ht="20.100000000000001" customHeight="1">
      <c r="B54" s="196" t="s">
        <v>551</v>
      </c>
      <c r="E54" s="629" t="s">
        <v>368</v>
      </c>
      <c r="F54" s="630"/>
      <c r="G54" s="630"/>
      <c r="H54" s="630"/>
      <c r="I54" s="631" t="s">
        <v>366</v>
      </c>
      <c r="J54" s="630"/>
      <c r="K54" s="630"/>
      <c r="L54" s="632"/>
    </row>
    <row r="55" spans="2:22" ht="39.950000000000003" customHeight="1">
      <c r="B55" s="196" t="s">
        <v>536</v>
      </c>
      <c r="E55" s="424" t="s">
        <v>371</v>
      </c>
      <c r="F55" s="425"/>
      <c r="G55" s="444" t="s">
        <v>550</v>
      </c>
      <c r="H55" s="425"/>
      <c r="I55" s="426" t="s">
        <v>371</v>
      </c>
      <c r="J55" s="425"/>
      <c r="K55" s="444" t="s">
        <v>550</v>
      </c>
      <c r="L55" s="427"/>
    </row>
    <row r="56" spans="2:22" ht="39.950000000000003" customHeight="1">
      <c r="E56" s="428" t="s">
        <v>372</v>
      </c>
      <c r="F56" s="429"/>
      <c r="G56" s="441">
        <f>G26+L10</f>
        <v>32.76</v>
      </c>
      <c r="H56" s="429"/>
      <c r="I56" s="425" t="s">
        <v>372</v>
      </c>
      <c r="J56" s="429"/>
      <c r="K56" s="441">
        <f>K26+L8</f>
        <v>26.21</v>
      </c>
      <c r="L56" s="431"/>
      <c r="U56" s="357"/>
      <c r="V56" s="357"/>
    </row>
    <row r="57" spans="2:22" ht="39.950000000000003" customHeight="1">
      <c r="E57" s="428" t="s">
        <v>373</v>
      </c>
      <c r="F57" s="429"/>
      <c r="G57" s="429" t="s">
        <v>533</v>
      </c>
      <c r="H57" s="429"/>
      <c r="I57" s="425" t="s">
        <v>373</v>
      </c>
      <c r="J57" s="429"/>
      <c r="K57" s="429" t="s">
        <v>533</v>
      </c>
      <c r="L57" s="431"/>
      <c r="U57" s="357"/>
      <c r="V57" s="357"/>
    </row>
    <row r="58" spans="2:22" ht="39.950000000000003" customHeight="1" thickBot="1">
      <c r="E58" s="436" t="s">
        <v>374</v>
      </c>
      <c r="F58" s="446"/>
      <c r="G58" s="443">
        <f>H10</f>
        <v>65.53</v>
      </c>
      <c r="H58" s="438"/>
      <c r="I58" s="439" t="s">
        <v>374</v>
      </c>
      <c r="J58" s="446"/>
      <c r="K58" s="443">
        <f>H8</f>
        <v>131.05000000000001</v>
      </c>
      <c r="L58" s="440"/>
      <c r="U58" s="357"/>
      <c r="V58" s="357"/>
    </row>
    <row r="59" spans="2:22">
      <c r="U59" s="357"/>
      <c r="V59" s="357"/>
    </row>
    <row r="60" spans="2:22">
      <c r="U60" s="357"/>
      <c r="V60" s="357"/>
    </row>
    <row r="61" spans="2:22">
      <c r="U61" s="357"/>
      <c r="V61" s="357"/>
    </row>
    <row r="62" spans="2:22">
      <c r="U62" s="357"/>
      <c r="V62" s="357"/>
    </row>
    <row r="83" spans="5:7">
      <c r="E83" s="447"/>
      <c r="F83" s="357"/>
    </row>
    <row r="84" spans="5:7">
      <c r="E84" s="448"/>
      <c r="F84" s="357"/>
      <c r="G84" s="448"/>
    </row>
    <row r="85" spans="5:7">
      <c r="E85" s="357"/>
      <c r="F85" s="357"/>
    </row>
    <row r="86" spans="5:7">
      <c r="E86" s="447"/>
      <c r="F86" s="357"/>
    </row>
    <row r="87" spans="5:7">
      <c r="E87" s="448"/>
      <c r="F87" s="357"/>
      <c r="G87" s="448"/>
    </row>
  </sheetData>
  <sheetProtection algorithmName="SHA-512" hashValue="23saAWWYPf/lfglpvdwSTiqni6wT1we5Wsbx9l+GtBiT+fG7Xr6+1cURlElQ3grhg4hvYIDfk+dUdA+h9oH+sw==" saltValue="a/L+734spKaULm/95svPGQ==" spinCount="100000" sheet="1" objects="1" scenarios="1" selectLockedCells="1" selectUnlockedCells="1"/>
  <mergeCells count="55">
    <mergeCell ref="N2:O3"/>
    <mergeCell ref="P2:P3"/>
    <mergeCell ref="B3:D4"/>
    <mergeCell ref="E3:F3"/>
    <mergeCell ref="G3:H3"/>
    <mergeCell ref="I3:J3"/>
    <mergeCell ref="B5:B7"/>
    <mergeCell ref="C5:C7"/>
    <mergeCell ref="K5:L7"/>
    <mergeCell ref="N5:O8"/>
    <mergeCell ref="P5:S5"/>
    <mergeCell ref="B8:B10"/>
    <mergeCell ref="C8:C10"/>
    <mergeCell ref="P6:S6"/>
    <mergeCell ref="P7:Q7"/>
    <mergeCell ref="R7:S7"/>
    <mergeCell ref="B11:B13"/>
    <mergeCell ref="C11:C13"/>
    <mergeCell ref="N9:O9"/>
    <mergeCell ref="N10:O10"/>
    <mergeCell ref="N11:O11"/>
    <mergeCell ref="N18:O18"/>
    <mergeCell ref="P18:Q18"/>
    <mergeCell ref="R18:S18"/>
    <mergeCell ref="E23:L23"/>
    <mergeCell ref="E24:H24"/>
    <mergeCell ref="P14:S14"/>
    <mergeCell ref="E17:H17"/>
    <mergeCell ref="I17:L17"/>
    <mergeCell ref="P15:S15"/>
    <mergeCell ref="P16:Q16"/>
    <mergeCell ref="R16:S16"/>
    <mergeCell ref="E16:L16"/>
    <mergeCell ref="N14:O17"/>
    <mergeCell ref="P17:Q17"/>
    <mergeCell ref="R17:S17"/>
    <mergeCell ref="P37:S37"/>
    <mergeCell ref="P38:S38"/>
    <mergeCell ref="P39:Q39"/>
    <mergeCell ref="R39:S39"/>
    <mergeCell ref="E38:L38"/>
    <mergeCell ref="E53:L53"/>
    <mergeCell ref="E54:H54"/>
    <mergeCell ref="I54:L54"/>
    <mergeCell ref="E39:H39"/>
    <mergeCell ref="I39:L39"/>
    <mergeCell ref="N41:O41"/>
    <mergeCell ref="E46:L46"/>
    <mergeCell ref="E47:H47"/>
    <mergeCell ref="I47:L47"/>
    <mergeCell ref="I24:L24"/>
    <mergeCell ref="E31:L31"/>
    <mergeCell ref="E32:H32"/>
    <mergeCell ref="N37:O40"/>
    <mergeCell ref="I32:L32"/>
  </mergeCells>
  <pageMargins left="0.7" right="0.7" top="0.75" bottom="0.75" header="0.3" footer="0.3"/>
  <pageSetup paperSize="8" scale="4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AR320"/>
  <sheetViews>
    <sheetView showGridLines="0" zoomScaleNormal="100" workbookViewId="0">
      <selection activeCell="V9" sqref="V9"/>
    </sheetView>
  </sheetViews>
  <sheetFormatPr defaultColWidth="9.140625" defaultRowHeight="12.75"/>
  <cols>
    <col min="1" max="1" width="2.28515625" style="231" customWidth="1"/>
    <col min="2" max="2" width="4.85546875" style="231" customWidth="1"/>
    <col min="3" max="3" width="3.7109375" style="231" customWidth="1"/>
    <col min="4" max="4" width="4.7109375" style="231" customWidth="1"/>
    <col min="5" max="5" width="3.7109375" style="231" customWidth="1"/>
    <col min="6" max="6" width="14.7109375" style="231" customWidth="1"/>
    <col min="7" max="7" width="3.7109375" style="231" customWidth="1"/>
    <col min="8" max="8" width="12.7109375" style="231" customWidth="1"/>
    <col min="9" max="9" width="3.7109375" style="231" customWidth="1"/>
    <col min="10" max="10" width="12.7109375" style="231" customWidth="1"/>
    <col min="11" max="11" width="3.7109375" style="231" customWidth="1"/>
    <col min="12" max="12" width="12.7109375" style="231" customWidth="1"/>
    <col min="13" max="13" width="3.7109375" style="231" customWidth="1"/>
    <col min="14" max="14" width="14.7109375" style="231" customWidth="1"/>
    <col min="15" max="15" width="3.7109375" style="231" customWidth="1"/>
    <col min="16" max="16" width="14.7109375" style="231" customWidth="1"/>
    <col min="17" max="17" width="9.28515625" style="231" customWidth="1"/>
    <col min="18" max="18" width="4.85546875" style="231" customWidth="1"/>
    <col min="19" max="19" width="3.7109375" style="231" customWidth="1"/>
    <col min="20" max="20" width="4.7109375" style="231" customWidth="1"/>
    <col min="21" max="21" width="3.7109375" style="231" customWidth="1"/>
    <col min="22" max="22" width="17.7109375" style="231" customWidth="1"/>
    <col min="23" max="23" width="3.7109375" style="231" customWidth="1"/>
    <col min="24" max="24" width="12.7109375" style="231" customWidth="1"/>
    <col min="25" max="25" width="3.7109375" style="231" customWidth="1"/>
    <col min="26" max="26" width="12.7109375" style="231" customWidth="1"/>
    <col min="27" max="27" width="3.7109375" style="231" customWidth="1"/>
    <col min="28" max="28" width="12.7109375" style="231" customWidth="1"/>
    <col min="29" max="29" width="3.7109375" style="231" customWidth="1"/>
    <col min="30" max="30" width="14.7109375" style="231" customWidth="1"/>
    <col min="31" max="31" width="3.7109375" style="231" customWidth="1"/>
    <col min="32" max="32" width="14.7109375" style="231" customWidth="1"/>
    <col min="33" max="33" width="9.28515625" style="231" customWidth="1"/>
    <col min="34" max="34" width="2.28515625" style="231" hidden="1" customWidth="1"/>
    <col min="35" max="35" width="14.140625" style="249" hidden="1" customWidth="1"/>
    <col min="36" max="36" width="16.7109375" style="250" hidden="1" customWidth="1"/>
    <col min="37" max="37" width="16" style="250" hidden="1" customWidth="1"/>
    <col min="38" max="38" width="9.140625" style="250" hidden="1" customWidth="1"/>
    <col min="39" max="39" width="31.5703125" style="250" hidden="1" customWidth="1"/>
    <col min="40" max="40" width="12.140625" style="250" hidden="1" customWidth="1"/>
    <col min="41" max="42" width="9.140625" style="296" hidden="1" customWidth="1"/>
    <col min="43" max="44" width="9.140625" style="231" hidden="1" customWidth="1"/>
    <col min="45" max="16384" width="9.140625" style="231"/>
  </cols>
  <sheetData>
    <row r="1" spans="2:42" ht="15" customHeight="1" thickBot="1">
      <c r="B1" s="24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Q1" s="463" t="s">
        <v>672</v>
      </c>
      <c r="R1" s="248"/>
      <c r="S1" s="2"/>
      <c r="T1" s="2"/>
      <c r="U1" s="405"/>
      <c r="V1" s="581" t="s">
        <v>662</v>
      </c>
      <c r="X1" s="2"/>
      <c r="Y1" s="2"/>
      <c r="Z1" s="2"/>
      <c r="AA1" s="2"/>
      <c r="AB1" s="572"/>
      <c r="AC1" s="2"/>
      <c r="AD1" s="2"/>
      <c r="AG1" s="463" t="s">
        <v>672</v>
      </c>
    </row>
    <row r="2" spans="2:42" ht="12.75" customHeight="1">
      <c r="B2" s="772" t="s">
        <v>679</v>
      </c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4"/>
      <c r="R2" s="772" t="s">
        <v>678</v>
      </c>
      <c r="S2" s="790"/>
      <c r="T2" s="790"/>
      <c r="U2" s="790"/>
      <c r="V2" s="790"/>
      <c r="W2" s="790"/>
      <c r="X2" s="790"/>
      <c r="Y2" s="790"/>
      <c r="Z2" s="790"/>
      <c r="AA2" s="790"/>
      <c r="AB2" s="790"/>
      <c r="AC2" s="790"/>
      <c r="AD2" s="790"/>
      <c r="AE2" s="790"/>
      <c r="AF2" s="791"/>
      <c r="AG2" s="787" t="s">
        <v>496</v>
      </c>
    </row>
    <row r="3" spans="2:42" ht="12.75" customHeight="1">
      <c r="B3" s="775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7"/>
      <c r="R3" s="792"/>
      <c r="S3" s="633"/>
      <c r="T3" s="633"/>
      <c r="U3" s="633"/>
      <c r="V3" s="633"/>
      <c r="W3" s="633"/>
      <c r="X3" s="633"/>
      <c r="Y3" s="633"/>
      <c r="Z3" s="633"/>
      <c r="AA3" s="633"/>
      <c r="AB3" s="633"/>
      <c r="AC3" s="633"/>
      <c r="AD3" s="633"/>
      <c r="AE3" s="633"/>
      <c r="AF3" s="793"/>
      <c r="AG3" s="788"/>
    </row>
    <row r="4" spans="2:42" ht="12.75" customHeight="1">
      <c r="B4" s="778" t="s">
        <v>18</v>
      </c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80"/>
      <c r="R4" s="778" t="s">
        <v>18</v>
      </c>
      <c r="S4" s="636"/>
      <c r="T4" s="636"/>
      <c r="U4" s="636"/>
      <c r="V4" s="636"/>
      <c r="W4" s="636"/>
      <c r="X4" s="636"/>
      <c r="Y4" s="636"/>
      <c r="Z4" s="636"/>
      <c r="AA4" s="636"/>
      <c r="AB4" s="636"/>
      <c r="AC4" s="636"/>
      <c r="AD4" s="636"/>
      <c r="AE4" s="636"/>
      <c r="AF4" s="805" t="s">
        <v>634</v>
      </c>
      <c r="AG4" s="788"/>
    </row>
    <row r="5" spans="2:42" ht="13.5" customHeight="1" thickBot="1">
      <c r="B5" s="778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80"/>
      <c r="R5" s="803"/>
      <c r="S5" s="804"/>
      <c r="T5" s="804"/>
      <c r="U5" s="804"/>
      <c r="V5" s="804"/>
      <c r="W5" s="804"/>
      <c r="X5" s="804"/>
      <c r="Y5" s="804"/>
      <c r="Z5" s="804"/>
      <c r="AA5" s="804"/>
      <c r="AB5" s="804"/>
      <c r="AC5" s="804"/>
      <c r="AD5" s="804"/>
      <c r="AE5" s="804"/>
      <c r="AF5" s="806"/>
      <c r="AG5" s="789"/>
    </row>
    <row r="6" spans="2:42"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2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4"/>
    </row>
    <row r="7" spans="2:42" s="251" customFormat="1" ht="15">
      <c r="B7" s="255"/>
      <c r="C7" s="231"/>
      <c r="D7" s="231"/>
      <c r="E7" s="231"/>
      <c r="F7" s="231"/>
      <c r="G7" s="256"/>
      <c r="H7" s="231"/>
      <c r="I7" s="256"/>
      <c r="J7" s="231"/>
      <c r="K7" s="256"/>
      <c r="L7" s="231"/>
      <c r="M7" s="256"/>
      <c r="N7" s="231"/>
      <c r="O7" s="231"/>
      <c r="P7" s="231"/>
      <c r="Q7" s="257"/>
      <c r="R7" s="276"/>
      <c r="S7" s="309"/>
      <c r="T7" s="258"/>
      <c r="U7" s="259"/>
      <c r="V7" s="260" t="s">
        <v>7</v>
      </c>
      <c r="W7" s="260"/>
      <c r="X7" s="260" t="s">
        <v>8</v>
      </c>
      <c r="Y7" s="260"/>
      <c r="Z7" s="260" t="s">
        <v>9</v>
      </c>
      <c r="AA7" s="260"/>
      <c r="AB7" s="260" t="s">
        <v>10</v>
      </c>
      <c r="AC7" s="260"/>
      <c r="AD7" s="260"/>
      <c r="AE7" s="259"/>
      <c r="AF7" s="261"/>
      <c r="AG7" s="262"/>
      <c r="AI7" s="249">
        <f>(V9*X9*AK7*AB9)</f>
        <v>0</v>
      </c>
      <c r="AJ7" s="250" t="s">
        <v>128</v>
      </c>
      <c r="AK7" s="250">
        <v>0.65</v>
      </c>
      <c r="AL7" s="250"/>
      <c r="AM7" s="250"/>
      <c r="AN7" s="250"/>
      <c r="AO7" s="250"/>
      <c r="AP7" s="250"/>
    </row>
    <row r="8" spans="2:42" s="1" customFormat="1">
      <c r="B8" s="255"/>
      <c r="F8" s="1" t="s">
        <v>3</v>
      </c>
      <c r="H8" s="1" t="s">
        <v>4</v>
      </c>
      <c r="J8" s="1" t="s">
        <v>308</v>
      </c>
      <c r="L8" s="1" t="s">
        <v>238</v>
      </c>
      <c r="O8" s="231"/>
      <c r="P8" s="231"/>
      <c r="Q8" s="257"/>
      <c r="R8" s="263"/>
      <c r="T8" s="264"/>
      <c r="V8" s="1" t="s">
        <v>3</v>
      </c>
      <c r="X8" s="1" t="s">
        <v>4</v>
      </c>
      <c r="Z8" s="1" t="s">
        <v>310</v>
      </c>
      <c r="AB8" s="1" t="s">
        <v>238</v>
      </c>
      <c r="AF8" s="265"/>
      <c r="AG8" s="266"/>
      <c r="AI8" s="249">
        <f>(V9*X9*AK8*AB9)</f>
        <v>0</v>
      </c>
      <c r="AJ8" s="250" t="s">
        <v>125</v>
      </c>
      <c r="AK8" s="250">
        <v>1</v>
      </c>
      <c r="AL8" s="250"/>
      <c r="AM8" s="250"/>
      <c r="AN8" s="250"/>
      <c r="AO8" s="470"/>
      <c r="AP8" s="470"/>
    </row>
    <row r="9" spans="2:42" ht="15">
      <c r="B9" s="255"/>
      <c r="D9" s="256" t="s">
        <v>0</v>
      </c>
      <c r="E9" s="231" t="s">
        <v>1</v>
      </c>
      <c r="F9" s="256" t="s">
        <v>244</v>
      </c>
      <c r="G9" s="231" t="s">
        <v>2</v>
      </c>
      <c r="H9" s="256" t="s">
        <v>242</v>
      </c>
      <c r="I9" s="231" t="s">
        <v>2</v>
      </c>
      <c r="J9" s="256" t="s">
        <v>243</v>
      </c>
      <c r="K9" s="231" t="s">
        <v>2</v>
      </c>
      <c r="L9" s="256" t="s">
        <v>309</v>
      </c>
      <c r="N9" s="256"/>
      <c r="P9" s="267"/>
      <c r="Q9" s="257"/>
      <c r="R9" s="255"/>
      <c r="T9" s="3" t="s">
        <v>0</v>
      </c>
      <c r="U9" s="231" t="s">
        <v>1</v>
      </c>
      <c r="V9" s="215">
        <v>0</v>
      </c>
      <c r="W9" s="231" t="s">
        <v>2</v>
      </c>
      <c r="X9" s="215"/>
      <c r="Y9" s="231" t="s">
        <v>2</v>
      </c>
      <c r="Z9" s="231" t="s">
        <v>125</v>
      </c>
      <c r="AA9" s="231" t="s">
        <v>2</v>
      </c>
      <c r="AB9" s="473">
        <v>1</v>
      </c>
      <c r="AD9" s="216"/>
      <c r="AE9" s="231" t="s">
        <v>1</v>
      </c>
      <c r="AF9" s="268">
        <f>IF(AI9&gt;0,AI9,0)</f>
        <v>0</v>
      </c>
      <c r="AG9" s="269"/>
      <c r="AI9" s="270">
        <f>IF(Z9="SI",AI7,AI8)</f>
        <v>0</v>
      </c>
    </row>
    <row r="10" spans="2:42">
      <c r="B10" s="255"/>
      <c r="Q10" s="257"/>
      <c r="R10" s="255"/>
      <c r="T10" s="271"/>
      <c r="AF10" s="272"/>
      <c r="AG10" s="269"/>
    </row>
    <row r="11" spans="2:42" ht="14.25">
      <c r="B11" s="255"/>
      <c r="G11" s="256"/>
      <c r="I11" s="256"/>
      <c r="K11" s="256"/>
      <c r="M11" s="256"/>
      <c r="Q11" s="257"/>
      <c r="R11" s="255"/>
      <c r="T11" s="273"/>
      <c r="U11" s="251"/>
      <c r="V11" s="274" t="s">
        <v>7</v>
      </c>
      <c r="W11" s="274"/>
      <c r="X11" s="274" t="s">
        <v>8</v>
      </c>
      <c r="Y11" s="274"/>
      <c r="Z11" s="274" t="s">
        <v>9</v>
      </c>
      <c r="AA11" s="274"/>
      <c r="AB11" s="274" t="s">
        <v>10</v>
      </c>
      <c r="AC11" s="274"/>
      <c r="AD11" s="274"/>
      <c r="AE11" s="251"/>
      <c r="AF11" s="275"/>
      <c r="AG11" s="257"/>
      <c r="AI11" s="249">
        <f>(V13*X13*AK11*AB13)</f>
        <v>0</v>
      </c>
      <c r="AJ11" s="250" t="s">
        <v>128</v>
      </c>
      <c r="AK11" s="250">
        <v>0.65</v>
      </c>
    </row>
    <row r="12" spans="2:42">
      <c r="B12" s="276"/>
      <c r="C12" s="251"/>
      <c r="D12" s="251"/>
      <c r="E12" s="251"/>
      <c r="F12" s="1" t="s">
        <v>3</v>
      </c>
      <c r="G12" s="1"/>
      <c r="H12" s="1" t="s">
        <v>4</v>
      </c>
      <c r="I12" s="1"/>
      <c r="J12" s="1" t="s">
        <v>308</v>
      </c>
      <c r="K12" s="1"/>
      <c r="L12" s="1" t="s">
        <v>238</v>
      </c>
      <c r="M12" s="251"/>
      <c r="N12" s="251"/>
      <c r="O12" s="251"/>
      <c r="P12" s="251"/>
      <c r="Q12" s="277"/>
      <c r="R12" s="255"/>
      <c r="T12" s="264"/>
      <c r="U12" s="1"/>
      <c r="V12" s="1" t="s">
        <v>3</v>
      </c>
      <c r="W12" s="1"/>
      <c r="X12" s="1" t="s">
        <v>4</v>
      </c>
      <c r="Y12" s="1"/>
      <c r="Z12" s="1" t="s">
        <v>310</v>
      </c>
      <c r="AA12" s="1"/>
      <c r="AB12" s="1" t="s">
        <v>238</v>
      </c>
      <c r="AC12" s="1"/>
      <c r="AD12" s="1"/>
      <c r="AE12" s="1"/>
      <c r="AF12" s="265"/>
      <c r="AG12" s="257"/>
      <c r="AI12" s="249">
        <f>(V13*X13*AK12*AB13)</f>
        <v>0</v>
      </c>
      <c r="AJ12" s="250" t="s">
        <v>125</v>
      </c>
      <c r="AK12" s="250">
        <v>1</v>
      </c>
    </row>
    <row r="13" spans="2:42" ht="15">
      <c r="B13" s="255"/>
      <c r="D13" s="256" t="s">
        <v>6</v>
      </c>
      <c r="E13" s="231" t="s">
        <v>1</v>
      </c>
      <c r="F13" s="256" t="s">
        <v>244</v>
      </c>
      <c r="G13" s="231" t="s">
        <v>2</v>
      </c>
      <c r="H13" s="256" t="s">
        <v>242</v>
      </c>
      <c r="I13" s="231" t="s">
        <v>2</v>
      </c>
      <c r="J13" s="256" t="s">
        <v>243</v>
      </c>
      <c r="K13" s="231" t="s">
        <v>2</v>
      </c>
      <c r="L13" s="256" t="s">
        <v>309</v>
      </c>
      <c r="N13" s="256"/>
      <c r="P13" s="267"/>
      <c r="Q13" s="257"/>
      <c r="R13" s="255"/>
      <c r="T13" s="3" t="s">
        <v>6</v>
      </c>
      <c r="U13" s="231" t="s">
        <v>1</v>
      </c>
      <c r="V13" s="215">
        <v>0</v>
      </c>
      <c r="W13" s="231" t="s">
        <v>2</v>
      </c>
      <c r="X13" s="215"/>
      <c r="Y13" s="231" t="s">
        <v>2</v>
      </c>
      <c r="Z13" s="231" t="s">
        <v>125</v>
      </c>
      <c r="AA13" s="231" t="s">
        <v>2</v>
      </c>
      <c r="AB13" s="473">
        <v>1</v>
      </c>
      <c r="AD13" s="216"/>
      <c r="AE13" s="231" t="s">
        <v>1</v>
      </c>
      <c r="AF13" s="268">
        <f>IF(AI13&gt;0,AI13,0)</f>
        <v>0</v>
      </c>
      <c r="AG13" s="257"/>
      <c r="AI13" s="270">
        <f>IF(Z13="SI",AI11,AI12)</f>
        <v>0</v>
      </c>
    </row>
    <row r="14" spans="2:42">
      <c r="B14" s="255"/>
      <c r="Q14" s="257"/>
      <c r="R14" s="255"/>
      <c r="T14" s="271"/>
      <c r="AF14" s="272"/>
      <c r="AG14" s="257"/>
    </row>
    <row r="15" spans="2:42">
      <c r="B15" s="255"/>
      <c r="Q15" s="257"/>
      <c r="R15" s="255"/>
      <c r="T15" s="278"/>
      <c r="U15" s="279"/>
      <c r="V15" s="279"/>
      <c r="W15" s="279"/>
      <c r="X15" s="279"/>
      <c r="Y15" s="279"/>
      <c r="Z15" s="279"/>
      <c r="AA15" s="279"/>
      <c r="AB15" s="279"/>
      <c r="AC15" s="279"/>
      <c r="AD15" s="280" t="s">
        <v>21</v>
      </c>
      <c r="AE15" s="280"/>
      <c r="AF15" s="281">
        <f>AF9+AF13</f>
        <v>0</v>
      </c>
      <c r="AG15" s="257"/>
    </row>
    <row r="16" spans="2:42">
      <c r="B16" s="255"/>
      <c r="Q16" s="257"/>
      <c r="R16" s="255"/>
      <c r="AG16" s="257"/>
    </row>
    <row r="17" spans="2:37" ht="14.25">
      <c r="B17" s="255"/>
      <c r="Q17" s="257"/>
      <c r="R17" s="255"/>
      <c r="T17" s="258"/>
      <c r="U17" s="259"/>
      <c r="V17" s="260" t="s">
        <v>7</v>
      </c>
      <c r="W17" s="260"/>
      <c r="X17" s="260" t="s">
        <v>8</v>
      </c>
      <c r="Y17" s="260"/>
      <c r="Z17" s="260" t="s">
        <v>9</v>
      </c>
      <c r="AA17" s="260"/>
      <c r="AB17" s="260" t="s">
        <v>10</v>
      </c>
      <c r="AC17" s="260"/>
      <c r="AD17" s="260"/>
      <c r="AE17" s="259"/>
      <c r="AF17" s="261"/>
      <c r="AG17" s="262"/>
      <c r="AH17" s="251"/>
      <c r="AI17" s="249">
        <f>(V19*X19*AK17*AB19)</f>
        <v>0</v>
      </c>
      <c r="AJ17" s="250" t="s">
        <v>128</v>
      </c>
      <c r="AK17" s="250">
        <v>0.65</v>
      </c>
    </row>
    <row r="18" spans="2:37">
      <c r="B18" s="255"/>
      <c r="Q18" s="257"/>
      <c r="R18" s="255"/>
      <c r="T18" s="264"/>
      <c r="U18" s="1"/>
      <c r="V18" s="1" t="s">
        <v>3</v>
      </c>
      <c r="W18" s="1"/>
      <c r="X18" s="1" t="s">
        <v>4</v>
      </c>
      <c r="Y18" s="1"/>
      <c r="Z18" s="1" t="s">
        <v>310</v>
      </c>
      <c r="AA18" s="1"/>
      <c r="AB18" s="1" t="s">
        <v>238</v>
      </c>
      <c r="AC18" s="1"/>
      <c r="AD18" s="1"/>
      <c r="AE18" s="1"/>
      <c r="AF18" s="265"/>
      <c r="AG18" s="266"/>
      <c r="AH18" s="1"/>
      <c r="AI18" s="249">
        <f>(V19*X19*AK18*AB19)</f>
        <v>0</v>
      </c>
      <c r="AJ18" s="250" t="s">
        <v>125</v>
      </c>
      <c r="AK18" s="250">
        <v>1</v>
      </c>
    </row>
    <row r="19" spans="2:37">
      <c r="B19" s="255"/>
      <c r="Q19" s="257"/>
      <c r="R19" s="255"/>
      <c r="T19" s="3" t="s">
        <v>0</v>
      </c>
      <c r="U19" s="231" t="s">
        <v>1</v>
      </c>
      <c r="V19" s="215">
        <v>0</v>
      </c>
      <c r="W19" s="231" t="s">
        <v>2</v>
      </c>
      <c r="X19" s="215"/>
      <c r="Y19" s="231" t="s">
        <v>2</v>
      </c>
      <c r="Z19" s="231" t="s">
        <v>125</v>
      </c>
      <c r="AA19" s="231" t="s">
        <v>2</v>
      </c>
      <c r="AB19" s="473">
        <v>1</v>
      </c>
      <c r="AD19" s="216"/>
      <c r="AE19" s="231" t="s">
        <v>1</v>
      </c>
      <c r="AF19" s="268">
        <f>IF(AI19&gt;0,AI19,0)</f>
        <v>0</v>
      </c>
      <c r="AG19" s="269"/>
      <c r="AI19" s="270">
        <f>IF(Z19="SI",AI17,AI18)</f>
        <v>0</v>
      </c>
    </row>
    <row r="20" spans="2:37">
      <c r="B20" s="255"/>
      <c r="Q20" s="257"/>
      <c r="R20" s="255"/>
      <c r="T20" s="271"/>
      <c r="AF20" s="272"/>
      <c r="AG20" s="269"/>
    </row>
    <row r="21" spans="2:37" ht="14.25">
      <c r="B21" s="255"/>
      <c r="Q21" s="257"/>
      <c r="R21" s="255"/>
      <c r="T21" s="273"/>
      <c r="U21" s="251"/>
      <c r="V21" s="274" t="s">
        <v>7</v>
      </c>
      <c r="W21" s="274"/>
      <c r="X21" s="274" t="s">
        <v>8</v>
      </c>
      <c r="Y21" s="274"/>
      <c r="Z21" s="274" t="s">
        <v>9</v>
      </c>
      <c r="AA21" s="274"/>
      <c r="AB21" s="274" t="s">
        <v>10</v>
      </c>
      <c r="AC21" s="274"/>
      <c r="AD21" s="274"/>
      <c r="AE21" s="251"/>
      <c r="AF21" s="275"/>
      <c r="AG21" s="257"/>
      <c r="AI21" s="249">
        <f>(V23*X23*AK21*AB23)</f>
        <v>0</v>
      </c>
      <c r="AJ21" s="250" t="s">
        <v>128</v>
      </c>
      <c r="AK21" s="250">
        <v>0.65</v>
      </c>
    </row>
    <row r="22" spans="2:37">
      <c r="B22" s="255"/>
      <c r="Q22" s="257"/>
      <c r="R22" s="255"/>
      <c r="T22" s="264"/>
      <c r="U22" s="1"/>
      <c r="V22" s="1" t="s">
        <v>3</v>
      </c>
      <c r="W22" s="1"/>
      <c r="X22" s="1" t="s">
        <v>4</v>
      </c>
      <c r="Y22" s="1"/>
      <c r="Z22" s="1" t="s">
        <v>310</v>
      </c>
      <c r="AA22" s="1"/>
      <c r="AB22" s="1" t="s">
        <v>238</v>
      </c>
      <c r="AC22" s="1"/>
      <c r="AD22" s="1"/>
      <c r="AE22" s="1"/>
      <c r="AF22" s="265"/>
      <c r="AG22" s="257"/>
      <c r="AI22" s="249">
        <f>(V23*X23*AK22*AB23)</f>
        <v>0</v>
      </c>
      <c r="AJ22" s="250" t="s">
        <v>125</v>
      </c>
      <c r="AK22" s="250">
        <v>1</v>
      </c>
    </row>
    <row r="23" spans="2:37">
      <c r="B23" s="255"/>
      <c r="Q23" s="257"/>
      <c r="R23" s="255"/>
      <c r="T23" s="3" t="s">
        <v>6</v>
      </c>
      <c r="U23" s="231" t="s">
        <v>1</v>
      </c>
      <c r="V23" s="215">
        <v>0</v>
      </c>
      <c r="W23" s="231" t="s">
        <v>2</v>
      </c>
      <c r="X23" s="215"/>
      <c r="Y23" s="231" t="s">
        <v>2</v>
      </c>
      <c r="Z23" s="231" t="s">
        <v>125</v>
      </c>
      <c r="AA23" s="231" t="s">
        <v>2</v>
      </c>
      <c r="AB23" s="473">
        <v>1</v>
      </c>
      <c r="AD23" s="216"/>
      <c r="AE23" s="231" t="s">
        <v>1</v>
      </c>
      <c r="AF23" s="268">
        <f>IF(AI23&gt;0,AI23,0)</f>
        <v>0</v>
      </c>
      <c r="AG23" s="257"/>
      <c r="AI23" s="270">
        <f>IF(Z23="SI",AI21,AI22)</f>
        <v>0</v>
      </c>
    </row>
    <row r="24" spans="2:37">
      <c r="B24" s="255"/>
      <c r="Q24" s="257"/>
      <c r="R24" s="255"/>
      <c r="T24" s="271"/>
      <c r="AF24" s="272"/>
      <c r="AG24" s="257"/>
    </row>
    <row r="25" spans="2:37">
      <c r="B25" s="255"/>
      <c r="Q25" s="257"/>
      <c r="R25" s="255"/>
      <c r="T25" s="278"/>
      <c r="U25" s="279"/>
      <c r="V25" s="279"/>
      <c r="W25" s="279"/>
      <c r="X25" s="279"/>
      <c r="Y25" s="279"/>
      <c r="Z25" s="279"/>
      <c r="AA25" s="279"/>
      <c r="AB25" s="279"/>
      <c r="AC25" s="279"/>
      <c r="AD25" s="280" t="s">
        <v>21</v>
      </c>
      <c r="AE25" s="280"/>
      <c r="AF25" s="281">
        <f>AF19+AF23</f>
        <v>0</v>
      </c>
      <c r="AG25" s="257"/>
    </row>
    <row r="26" spans="2:37">
      <c r="B26" s="255"/>
      <c r="Q26" s="257"/>
      <c r="R26" s="255"/>
      <c r="AG26" s="257"/>
    </row>
    <row r="27" spans="2:37" ht="14.25">
      <c r="B27" s="255"/>
      <c r="Q27" s="257"/>
      <c r="R27" s="255"/>
      <c r="T27" s="258"/>
      <c r="U27" s="259"/>
      <c r="V27" s="260" t="s">
        <v>7</v>
      </c>
      <c r="W27" s="260"/>
      <c r="X27" s="260" t="s">
        <v>8</v>
      </c>
      <c r="Y27" s="260"/>
      <c r="Z27" s="260" t="s">
        <v>9</v>
      </c>
      <c r="AA27" s="260"/>
      <c r="AB27" s="260" t="s">
        <v>10</v>
      </c>
      <c r="AC27" s="260"/>
      <c r="AD27" s="260"/>
      <c r="AE27" s="259"/>
      <c r="AF27" s="261"/>
      <c r="AG27" s="262"/>
      <c r="AH27" s="251"/>
      <c r="AI27" s="249">
        <f>(V29*X29*AK27*AB29)</f>
        <v>0</v>
      </c>
      <c r="AJ27" s="250" t="s">
        <v>128</v>
      </c>
      <c r="AK27" s="250">
        <v>0.65</v>
      </c>
    </row>
    <row r="28" spans="2:37">
      <c r="B28" s="255"/>
      <c r="Q28" s="257"/>
      <c r="R28" s="255"/>
      <c r="T28" s="264"/>
      <c r="U28" s="1"/>
      <c r="V28" s="1" t="s">
        <v>3</v>
      </c>
      <c r="W28" s="1"/>
      <c r="X28" s="1" t="s">
        <v>4</v>
      </c>
      <c r="Y28" s="1"/>
      <c r="Z28" s="1" t="s">
        <v>310</v>
      </c>
      <c r="AA28" s="1"/>
      <c r="AB28" s="1" t="s">
        <v>238</v>
      </c>
      <c r="AC28" s="1"/>
      <c r="AD28" s="1"/>
      <c r="AE28" s="1"/>
      <c r="AF28" s="265"/>
      <c r="AG28" s="266"/>
      <c r="AH28" s="1"/>
      <c r="AI28" s="249">
        <f>(V29*X29*AK28*AB29)</f>
        <v>0</v>
      </c>
      <c r="AJ28" s="250" t="s">
        <v>125</v>
      </c>
      <c r="AK28" s="250">
        <v>1</v>
      </c>
    </row>
    <row r="29" spans="2:37">
      <c r="B29" s="255"/>
      <c r="Q29" s="257"/>
      <c r="R29" s="255"/>
      <c r="T29" s="3" t="s">
        <v>0</v>
      </c>
      <c r="U29" s="231" t="s">
        <v>1</v>
      </c>
      <c r="V29" s="215">
        <v>0</v>
      </c>
      <c r="W29" s="231" t="s">
        <v>2</v>
      </c>
      <c r="X29" s="215"/>
      <c r="Y29" s="231" t="s">
        <v>2</v>
      </c>
      <c r="Z29" s="231" t="s">
        <v>125</v>
      </c>
      <c r="AA29" s="231" t="s">
        <v>2</v>
      </c>
      <c r="AB29" s="473">
        <v>1</v>
      </c>
      <c r="AD29" s="216"/>
      <c r="AE29" s="231" t="s">
        <v>1</v>
      </c>
      <c r="AF29" s="268">
        <f>IF(AI29&gt;0,AI29,0)</f>
        <v>0</v>
      </c>
      <c r="AG29" s="269"/>
      <c r="AI29" s="270">
        <f>IF(Z29="SI",AI27,AI28)</f>
        <v>0</v>
      </c>
    </row>
    <row r="30" spans="2:37">
      <c r="B30" s="255"/>
      <c r="Q30" s="257"/>
      <c r="R30" s="255"/>
      <c r="T30" s="271"/>
      <c r="AF30" s="272"/>
      <c r="AG30" s="269"/>
    </row>
    <row r="31" spans="2:37" ht="14.25">
      <c r="B31" s="255"/>
      <c r="Q31" s="257"/>
      <c r="R31" s="255"/>
      <c r="T31" s="273"/>
      <c r="U31" s="251"/>
      <c r="V31" s="274" t="s">
        <v>7</v>
      </c>
      <c r="W31" s="274"/>
      <c r="X31" s="274" t="s">
        <v>8</v>
      </c>
      <c r="Y31" s="274"/>
      <c r="Z31" s="274" t="s">
        <v>9</v>
      </c>
      <c r="AA31" s="274"/>
      <c r="AB31" s="274" t="s">
        <v>10</v>
      </c>
      <c r="AC31" s="274"/>
      <c r="AD31" s="274"/>
      <c r="AE31" s="251"/>
      <c r="AF31" s="275"/>
      <c r="AG31" s="257"/>
      <c r="AI31" s="249">
        <f>(V33*X33*AK31*AB33)</f>
        <v>0</v>
      </c>
      <c r="AJ31" s="250" t="s">
        <v>128</v>
      </c>
      <c r="AK31" s="250">
        <v>0.65</v>
      </c>
    </row>
    <row r="32" spans="2:37">
      <c r="B32" s="255"/>
      <c r="Q32" s="257"/>
      <c r="R32" s="255"/>
      <c r="T32" s="264"/>
      <c r="U32" s="1"/>
      <c r="V32" s="1" t="s">
        <v>3</v>
      </c>
      <c r="W32" s="1"/>
      <c r="X32" s="1" t="s">
        <v>4</v>
      </c>
      <c r="Y32" s="1"/>
      <c r="Z32" s="1" t="s">
        <v>310</v>
      </c>
      <c r="AA32" s="1"/>
      <c r="AB32" s="1" t="s">
        <v>238</v>
      </c>
      <c r="AC32" s="1"/>
      <c r="AD32" s="1"/>
      <c r="AE32" s="1"/>
      <c r="AF32" s="265"/>
      <c r="AG32" s="257"/>
      <c r="AI32" s="249">
        <f>(V33*X33*AK32*AB33)</f>
        <v>0</v>
      </c>
      <c r="AJ32" s="250" t="s">
        <v>125</v>
      </c>
      <c r="AK32" s="250">
        <v>1</v>
      </c>
    </row>
    <row r="33" spans="2:39">
      <c r="B33" s="255"/>
      <c r="Q33" s="257"/>
      <c r="R33" s="255"/>
      <c r="T33" s="3" t="s">
        <v>6</v>
      </c>
      <c r="U33" s="231" t="s">
        <v>1</v>
      </c>
      <c r="V33" s="215">
        <v>0</v>
      </c>
      <c r="W33" s="231" t="s">
        <v>2</v>
      </c>
      <c r="X33" s="215"/>
      <c r="Y33" s="231" t="s">
        <v>2</v>
      </c>
      <c r="Z33" s="231" t="s">
        <v>125</v>
      </c>
      <c r="AA33" s="231" t="s">
        <v>2</v>
      </c>
      <c r="AB33" s="473">
        <v>1</v>
      </c>
      <c r="AD33" s="216"/>
      <c r="AE33" s="231" t="s">
        <v>1</v>
      </c>
      <c r="AF33" s="268">
        <f>IF(AI33&gt;0,AI33,0)</f>
        <v>0</v>
      </c>
      <c r="AG33" s="257"/>
      <c r="AI33" s="270">
        <f>IF(Z33="SI",AI31,AI32)</f>
        <v>0</v>
      </c>
    </row>
    <row r="34" spans="2:39">
      <c r="B34" s="255"/>
      <c r="Q34" s="257"/>
      <c r="R34" s="255"/>
      <c r="T34" s="271"/>
      <c r="AF34" s="272"/>
      <c r="AG34" s="257"/>
    </row>
    <row r="35" spans="2:39">
      <c r="B35" s="255"/>
      <c r="Q35" s="257"/>
      <c r="R35" s="255"/>
      <c r="T35" s="278"/>
      <c r="U35" s="279"/>
      <c r="V35" s="279"/>
      <c r="W35" s="279"/>
      <c r="X35" s="279"/>
      <c r="Y35" s="279"/>
      <c r="Z35" s="279"/>
      <c r="AA35" s="279"/>
      <c r="AB35" s="279"/>
      <c r="AC35" s="279"/>
      <c r="AD35" s="280" t="s">
        <v>21</v>
      </c>
      <c r="AE35" s="280"/>
      <c r="AF35" s="281">
        <f>AF29+AF33</f>
        <v>0</v>
      </c>
      <c r="AG35" s="257"/>
    </row>
    <row r="36" spans="2:39">
      <c r="B36" s="255"/>
      <c r="Q36" s="257"/>
      <c r="R36" s="255"/>
      <c r="AG36" s="257"/>
    </row>
    <row r="37" spans="2:39">
      <c r="B37" s="255"/>
      <c r="Q37" s="257"/>
      <c r="R37" s="255"/>
      <c r="T37" s="449" t="s">
        <v>515</v>
      </c>
      <c r="AD37" s="256" t="s">
        <v>239</v>
      </c>
      <c r="AE37" s="256"/>
      <c r="AF37" s="282">
        <f>AF35+AF25+AF15</f>
        <v>0</v>
      </c>
      <c r="AG37" s="257"/>
    </row>
    <row r="38" spans="2:39" ht="13.5" thickBot="1"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5"/>
      <c r="R38" s="283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5"/>
    </row>
    <row r="39" spans="2:39" ht="12.75" customHeight="1">
      <c r="B39" s="760" t="s">
        <v>680</v>
      </c>
      <c r="C39" s="761"/>
      <c r="D39" s="761"/>
      <c r="E39" s="761"/>
      <c r="F39" s="761"/>
      <c r="G39" s="761"/>
      <c r="H39" s="761"/>
      <c r="I39" s="761"/>
      <c r="J39" s="761"/>
      <c r="K39" s="761"/>
      <c r="L39" s="761"/>
      <c r="M39" s="761"/>
      <c r="N39" s="761"/>
      <c r="O39" s="761"/>
      <c r="P39" s="761"/>
      <c r="Q39" s="762"/>
      <c r="R39" s="760" t="s">
        <v>680</v>
      </c>
      <c r="S39" s="761"/>
      <c r="T39" s="761"/>
      <c r="U39" s="761"/>
      <c r="V39" s="761"/>
      <c r="W39" s="761"/>
      <c r="X39" s="761"/>
      <c r="Y39" s="761"/>
      <c r="Z39" s="761"/>
      <c r="AA39" s="761"/>
      <c r="AB39" s="761"/>
      <c r="AC39" s="761"/>
      <c r="AD39" s="761"/>
      <c r="AE39" s="761"/>
      <c r="AF39" s="762"/>
      <c r="AG39" s="794" t="s">
        <v>497</v>
      </c>
    </row>
    <row r="40" spans="2:39" ht="12.75" customHeight="1">
      <c r="B40" s="763"/>
      <c r="C40" s="764"/>
      <c r="D40" s="764"/>
      <c r="E40" s="764"/>
      <c r="F40" s="764"/>
      <c r="G40" s="764"/>
      <c r="H40" s="764"/>
      <c r="I40" s="764"/>
      <c r="J40" s="764"/>
      <c r="K40" s="764"/>
      <c r="L40" s="764"/>
      <c r="M40" s="764"/>
      <c r="N40" s="764"/>
      <c r="O40" s="764"/>
      <c r="P40" s="764"/>
      <c r="Q40" s="765"/>
      <c r="R40" s="763"/>
      <c r="S40" s="764"/>
      <c r="T40" s="764"/>
      <c r="U40" s="764"/>
      <c r="V40" s="764"/>
      <c r="W40" s="764"/>
      <c r="X40" s="764"/>
      <c r="Y40" s="764"/>
      <c r="Z40" s="764"/>
      <c r="AA40" s="764"/>
      <c r="AB40" s="764"/>
      <c r="AC40" s="764"/>
      <c r="AD40" s="764"/>
      <c r="AE40" s="764"/>
      <c r="AF40" s="765"/>
      <c r="AG40" s="795"/>
    </row>
    <row r="41" spans="2:39" ht="12.75" customHeight="1">
      <c r="B41" s="766" t="s">
        <v>19</v>
      </c>
      <c r="C41" s="767"/>
      <c r="D41" s="767"/>
      <c r="E41" s="767"/>
      <c r="F41" s="767"/>
      <c r="G41" s="767"/>
      <c r="H41" s="767"/>
      <c r="I41" s="767"/>
      <c r="J41" s="767"/>
      <c r="K41" s="767"/>
      <c r="L41" s="767"/>
      <c r="M41" s="767"/>
      <c r="N41" s="767"/>
      <c r="O41" s="767"/>
      <c r="P41" s="767"/>
      <c r="Q41" s="768"/>
      <c r="R41" s="797" t="s">
        <v>19</v>
      </c>
      <c r="S41" s="798"/>
      <c r="T41" s="798"/>
      <c r="U41" s="798"/>
      <c r="V41" s="798"/>
      <c r="W41" s="798"/>
      <c r="X41" s="798"/>
      <c r="Y41" s="798"/>
      <c r="Z41" s="798"/>
      <c r="AA41" s="798"/>
      <c r="AB41" s="798"/>
      <c r="AC41" s="798"/>
      <c r="AD41" s="798"/>
      <c r="AE41" s="798"/>
      <c r="AF41" s="799"/>
      <c r="AG41" s="795"/>
    </row>
    <row r="42" spans="2:39" ht="13.5" customHeight="1" thickBot="1">
      <c r="B42" s="766"/>
      <c r="C42" s="767"/>
      <c r="D42" s="767"/>
      <c r="E42" s="767"/>
      <c r="F42" s="767"/>
      <c r="G42" s="767"/>
      <c r="H42" s="767"/>
      <c r="I42" s="767"/>
      <c r="J42" s="767"/>
      <c r="K42" s="767"/>
      <c r="L42" s="767"/>
      <c r="M42" s="767"/>
      <c r="N42" s="767"/>
      <c r="O42" s="767"/>
      <c r="P42" s="767"/>
      <c r="Q42" s="768"/>
      <c r="R42" s="800"/>
      <c r="S42" s="801"/>
      <c r="T42" s="801"/>
      <c r="U42" s="801"/>
      <c r="V42" s="801"/>
      <c r="W42" s="801"/>
      <c r="X42" s="801"/>
      <c r="Y42" s="801"/>
      <c r="Z42" s="801"/>
      <c r="AA42" s="801"/>
      <c r="AB42" s="801"/>
      <c r="AC42" s="801"/>
      <c r="AD42" s="801"/>
      <c r="AE42" s="801"/>
      <c r="AF42" s="802"/>
      <c r="AG42" s="796"/>
    </row>
    <row r="43" spans="2:39">
      <c r="B43" s="252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4"/>
      <c r="R43" s="252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4"/>
    </row>
    <row r="44" spans="2:39" ht="14.25">
      <c r="B44" s="255"/>
      <c r="G44" s="256"/>
      <c r="I44" s="256"/>
      <c r="K44" s="256"/>
      <c r="M44" s="256"/>
      <c r="Q44" s="257"/>
      <c r="R44" s="255"/>
      <c r="T44" s="286"/>
      <c r="U44" s="287"/>
      <c r="V44" s="260" t="s">
        <v>452</v>
      </c>
      <c r="W44" s="260"/>
      <c r="X44" s="260" t="s">
        <v>13</v>
      </c>
      <c r="Y44" s="260"/>
      <c r="Z44" s="260" t="s">
        <v>14</v>
      </c>
      <c r="AA44" s="260"/>
      <c r="AB44" s="260" t="s">
        <v>15</v>
      </c>
      <c r="AC44" s="260"/>
      <c r="AD44" s="260"/>
      <c r="AE44" s="287"/>
      <c r="AF44" s="288"/>
      <c r="AG44" s="257"/>
      <c r="AI44" s="249">
        <f>(V46*X46*Z46*AK44)</f>
        <v>0</v>
      </c>
      <c r="AJ44" s="250" t="s">
        <v>128</v>
      </c>
      <c r="AK44" s="250">
        <v>0.65</v>
      </c>
      <c r="AL44" s="250" t="s">
        <v>240</v>
      </c>
      <c r="AM44" s="250" t="s">
        <v>241</v>
      </c>
    </row>
    <row r="45" spans="2:39">
      <c r="B45" s="255"/>
      <c r="F45" s="1" t="s">
        <v>3</v>
      </c>
      <c r="G45" s="1"/>
      <c r="H45" s="1" t="s">
        <v>4</v>
      </c>
      <c r="I45" s="1"/>
      <c r="J45" s="1"/>
      <c r="K45" s="1"/>
      <c r="L45" s="1" t="s">
        <v>308</v>
      </c>
      <c r="M45" s="1"/>
      <c r="N45" s="1"/>
      <c r="Q45" s="257"/>
      <c r="R45" s="255"/>
      <c r="T45" s="271"/>
      <c r="V45" s="1" t="s">
        <v>3</v>
      </c>
      <c r="W45" s="1"/>
      <c r="X45" s="1" t="s">
        <v>4</v>
      </c>
      <c r="Y45" s="1"/>
      <c r="Z45" s="1"/>
      <c r="AA45" s="1"/>
      <c r="AB45" s="1" t="s">
        <v>310</v>
      </c>
      <c r="AC45" s="1"/>
      <c r="AD45" s="1"/>
      <c r="AF45" s="272"/>
      <c r="AG45" s="257"/>
      <c r="AI45" s="249">
        <f>(V46*X46*Z46*AK45)</f>
        <v>0</v>
      </c>
      <c r="AJ45" s="250" t="s">
        <v>125</v>
      </c>
      <c r="AK45" s="250">
        <v>1</v>
      </c>
      <c r="AM45" s="250">
        <v>0.5</v>
      </c>
    </row>
    <row r="46" spans="2:39" ht="15">
      <c r="B46" s="255"/>
      <c r="D46" s="256" t="s">
        <v>11</v>
      </c>
      <c r="E46" s="231" t="s">
        <v>1</v>
      </c>
      <c r="F46" s="256" t="s">
        <v>450</v>
      </c>
      <c r="G46" s="231" t="s">
        <v>2</v>
      </c>
      <c r="H46" s="256" t="s">
        <v>245</v>
      </c>
      <c r="I46" s="231" t="s">
        <v>2</v>
      </c>
      <c r="J46" s="256" t="s">
        <v>246</v>
      </c>
      <c r="K46" s="231" t="s">
        <v>2</v>
      </c>
      <c r="L46" s="256" t="s">
        <v>247</v>
      </c>
      <c r="N46" s="256"/>
      <c r="P46" s="267"/>
      <c r="Q46" s="257"/>
      <c r="R46" s="255"/>
      <c r="T46" s="3" t="s">
        <v>11</v>
      </c>
      <c r="U46" s="231" t="s">
        <v>1</v>
      </c>
      <c r="V46" s="215">
        <v>0</v>
      </c>
      <c r="W46" s="231" t="s">
        <v>2</v>
      </c>
      <c r="X46" s="215">
        <v>4.7699999999999996</v>
      </c>
      <c r="Y46" s="231" t="s">
        <v>2</v>
      </c>
      <c r="Z46" s="215">
        <v>1</v>
      </c>
      <c r="AA46" s="231" t="s">
        <v>2</v>
      </c>
      <c r="AB46" s="231" t="s">
        <v>125</v>
      </c>
      <c r="AD46" s="216"/>
      <c r="AE46" s="231" t="s">
        <v>1</v>
      </c>
      <c r="AF46" s="268">
        <f>IF(AI46&gt;0,AI46,0)</f>
        <v>0</v>
      </c>
      <c r="AG46" s="257"/>
      <c r="AI46" s="270">
        <f>IF(AB46="SI",AI44,AI45)</f>
        <v>0</v>
      </c>
      <c r="AL46" s="250">
        <v>1</v>
      </c>
      <c r="AM46" s="250">
        <v>1</v>
      </c>
    </row>
    <row r="47" spans="2:39">
      <c r="B47" s="255"/>
      <c r="Q47" s="257"/>
      <c r="R47" s="255"/>
      <c r="T47" s="271"/>
      <c r="AF47" s="272"/>
      <c r="AG47" s="257"/>
      <c r="AL47" s="250">
        <v>1.5</v>
      </c>
      <c r="AM47" s="250">
        <v>1.5</v>
      </c>
    </row>
    <row r="48" spans="2:39" ht="14.25">
      <c r="B48" s="255"/>
      <c r="G48" s="256"/>
      <c r="I48" s="256"/>
      <c r="K48" s="256"/>
      <c r="M48" s="256"/>
      <c r="Q48" s="257"/>
      <c r="R48" s="255"/>
      <c r="T48" s="271"/>
      <c r="V48" s="274" t="s">
        <v>452</v>
      </c>
      <c r="W48" s="274"/>
      <c r="X48" s="274" t="s">
        <v>16</v>
      </c>
      <c r="Y48" s="274"/>
      <c r="Z48" s="274" t="s">
        <v>17</v>
      </c>
      <c r="AA48" s="274"/>
      <c r="AB48" s="274" t="s">
        <v>15</v>
      </c>
      <c r="AC48" s="274"/>
      <c r="AD48" s="274"/>
      <c r="AF48" s="272"/>
      <c r="AG48" s="257"/>
      <c r="AI48" s="249">
        <f>(V50*X50*Z50*AK44)</f>
        <v>0</v>
      </c>
    </row>
    <row r="49" spans="2:39">
      <c r="B49" s="255"/>
      <c r="F49" s="1" t="s">
        <v>3</v>
      </c>
      <c r="G49" s="1"/>
      <c r="H49" s="1" t="s">
        <v>4</v>
      </c>
      <c r="I49" s="1"/>
      <c r="J49" s="1"/>
      <c r="K49" s="1"/>
      <c r="L49" s="1" t="s">
        <v>308</v>
      </c>
      <c r="M49" s="1"/>
      <c r="N49" s="1"/>
      <c r="Q49" s="257"/>
      <c r="R49" s="255"/>
      <c r="T49" s="271"/>
      <c r="V49" s="1" t="s">
        <v>3</v>
      </c>
      <c r="W49" s="1"/>
      <c r="X49" s="1" t="s">
        <v>4</v>
      </c>
      <c r="Y49" s="1"/>
      <c r="Z49" s="1"/>
      <c r="AA49" s="1"/>
      <c r="AB49" s="1" t="s">
        <v>310</v>
      </c>
      <c r="AC49" s="1"/>
      <c r="AD49" s="1"/>
      <c r="AF49" s="272"/>
      <c r="AG49" s="257"/>
      <c r="AI49" s="249">
        <f>(V50*X50*Z50*AK45)</f>
        <v>0</v>
      </c>
    </row>
    <row r="50" spans="2:39" ht="15">
      <c r="B50" s="255"/>
      <c r="D50" s="256" t="s">
        <v>12</v>
      </c>
      <c r="E50" s="231" t="s">
        <v>1</v>
      </c>
      <c r="F50" s="256" t="s">
        <v>450</v>
      </c>
      <c r="G50" s="231" t="s">
        <v>2</v>
      </c>
      <c r="H50" s="256" t="s">
        <v>248</v>
      </c>
      <c r="I50" s="231" t="s">
        <v>2</v>
      </c>
      <c r="J50" s="256" t="s">
        <v>249</v>
      </c>
      <c r="K50" s="231" t="s">
        <v>2</v>
      </c>
      <c r="L50" s="256" t="s">
        <v>247</v>
      </c>
      <c r="N50" s="256"/>
      <c r="P50" s="267"/>
      <c r="Q50" s="257"/>
      <c r="R50" s="255"/>
      <c r="T50" s="3" t="s">
        <v>12</v>
      </c>
      <c r="U50" s="231" t="s">
        <v>1</v>
      </c>
      <c r="V50" s="215">
        <v>0</v>
      </c>
      <c r="W50" s="231" t="s">
        <v>2</v>
      </c>
      <c r="X50" s="215">
        <v>3.57</v>
      </c>
      <c r="Y50" s="231" t="s">
        <v>2</v>
      </c>
      <c r="Z50" s="215">
        <v>1.5</v>
      </c>
      <c r="AA50" s="231" t="s">
        <v>2</v>
      </c>
      <c r="AB50" s="231" t="s">
        <v>125</v>
      </c>
      <c r="AD50" s="216"/>
      <c r="AE50" s="231" t="s">
        <v>1</v>
      </c>
      <c r="AF50" s="268">
        <f>IF(AI50&gt;0,AI50,0)</f>
        <v>0</v>
      </c>
      <c r="AG50" s="257"/>
      <c r="AI50" s="270">
        <f>IF(AB50="SI",AI48,AI49)</f>
        <v>0</v>
      </c>
    </row>
    <row r="51" spans="2:39">
      <c r="B51" s="255"/>
      <c r="Q51" s="257"/>
      <c r="R51" s="255"/>
      <c r="T51" s="271"/>
      <c r="AF51" s="272"/>
      <c r="AG51" s="257"/>
    </row>
    <row r="52" spans="2:39">
      <c r="B52" s="255"/>
      <c r="Q52" s="257"/>
      <c r="R52" s="255"/>
      <c r="T52" s="278"/>
      <c r="U52" s="279"/>
      <c r="V52" s="279"/>
      <c r="W52" s="279"/>
      <c r="X52" s="279"/>
      <c r="Y52" s="279"/>
      <c r="Z52" s="279"/>
      <c r="AA52" s="279"/>
      <c r="AB52" s="279"/>
      <c r="AC52" s="279"/>
      <c r="AD52" s="280"/>
      <c r="AE52" s="280"/>
      <c r="AF52" s="281">
        <f>AF46+AF50</f>
        <v>0</v>
      </c>
      <c r="AG52" s="257"/>
    </row>
    <row r="53" spans="2:39">
      <c r="B53" s="255"/>
      <c r="Q53" s="257"/>
      <c r="R53" s="255"/>
      <c r="AG53" s="257"/>
    </row>
    <row r="54" spans="2:39" ht="14.25">
      <c r="B54" s="255"/>
      <c r="Q54" s="257"/>
      <c r="R54" s="255"/>
      <c r="T54" s="286"/>
      <c r="U54" s="287"/>
      <c r="V54" s="260" t="s">
        <v>452</v>
      </c>
      <c r="W54" s="260"/>
      <c r="X54" s="260" t="s">
        <v>13</v>
      </c>
      <c r="Y54" s="260"/>
      <c r="Z54" s="260" t="s">
        <v>14</v>
      </c>
      <c r="AA54" s="260"/>
      <c r="AB54" s="260" t="s">
        <v>15</v>
      </c>
      <c r="AC54" s="260"/>
      <c r="AD54" s="260"/>
      <c r="AE54" s="287"/>
      <c r="AF54" s="288"/>
      <c r="AG54" s="257"/>
      <c r="AI54" s="249">
        <f>(V56*X56*Z56*AK54)</f>
        <v>0</v>
      </c>
      <c r="AJ54" s="250" t="s">
        <v>128</v>
      </c>
      <c r="AK54" s="250">
        <v>0.65</v>
      </c>
      <c r="AL54" s="250" t="s">
        <v>240</v>
      </c>
      <c r="AM54" s="250" t="s">
        <v>241</v>
      </c>
    </row>
    <row r="55" spans="2:39">
      <c r="B55" s="255"/>
      <c r="Q55" s="257"/>
      <c r="R55" s="255"/>
      <c r="T55" s="271"/>
      <c r="V55" s="1" t="s">
        <v>3</v>
      </c>
      <c r="W55" s="1"/>
      <c r="X55" s="1" t="s">
        <v>4</v>
      </c>
      <c r="Y55" s="1"/>
      <c r="Z55" s="1"/>
      <c r="AA55" s="1"/>
      <c r="AB55" s="1" t="s">
        <v>310</v>
      </c>
      <c r="AC55" s="1"/>
      <c r="AD55" s="1"/>
      <c r="AF55" s="272"/>
      <c r="AG55" s="257"/>
      <c r="AI55" s="249">
        <f>(V56*X56*Z56*AK55)</f>
        <v>0</v>
      </c>
      <c r="AJ55" s="250" t="s">
        <v>125</v>
      </c>
      <c r="AK55" s="250">
        <v>1</v>
      </c>
      <c r="AM55" s="250">
        <v>0.5</v>
      </c>
    </row>
    <row r="56" spans="2:39">
      <c r="B56" s="255"/>
      <c r="Q56" s="257"/>
      <c r="R56" s="255"/>
      <c r="T56" s="3" t="s">
        <v>11</v>
      </c>
      <c r="U56" s="231" t="s">
        <v>1</v>
      </c>
      <c r="V56" s="215">
        <v>0</v>
      </c>
      <c r="W56" s="231" t="s">
        <v>2</v>
      </c>
      <c r="X56" s="215">
        <v>4.7699999999999996</v>
      </c>
      <c r="Y56" s="231" t="s">
        <v>2</v>
      </c>
      <c r="Z56" s="215">
        <v>1</v>
      </c>
      <c r="AA56" s="231" t="s">
        <v>2</v>
      </c>
      <c r="AB56" s="231" t="s">
        <v>125</v>
      </c>
      <c r="AD56" s="216"/>
      <c r="AE56" s="231" t="s">
        <v>1</v>
      </c>
      <c r="AF56" s="268">
        <f>IF(AI56&gt;0,AI56,0)</f>
        <v>0</v>
      </c>
      <c r="AG56" s="257"/>
      <c r="AI56" s="270">
        <f>IF(AB56="SI",AI54,AI55)</f>
        <v>0</v>
      </c>
      <c r="AL56" s="250">
        <v>1</v>
      </c>
      <c r="AM56" s="250">
        <v>1</v>
      </c>
    </row>
    <row r="57" spans="2:39">
      <c r="B57" s="255"/>
      <c r="Q57" s="257"/>
      <c r="R57" s="255"/>
      <c r="T57" s="271"/>
      <c r="AF57" s="272"/>
      <c r="AG57" s="257"/>
      <c r="AL57" s="250">
        <v>1.5</v>
      </c>
      <c r="AM57" s="250">
        <v>1.5</v>
      </c>
    </row>
    <row r="58" spans="2:39" ht="14.25">
      <c r="B58" s="255"/>
      <c r="Q58" s="257"/>
      <c r="R58" s="255"/>
      <c r="T58" s="271"/>
      <c r="V58" s="274" t="s">
        <v>452</v>
      </c>
      <c r="W58" s="274"/>
      <c r="X58" s="274" t="s">
        <v>16</v>
      </c>
      <c r="Y58" s="274"/>
      <c r="Z58" s="274" t="s">
        <v>17</v>
      </c>
      <c r="AA58" s="274"/>
      <c r="AB58" s="274" t="s">
        <v>15</v>
      </c>
      <c r="AC58" s="274"/>
      <c r="AD58" s="274"/>
      <c r="AF58" s="272"/>
      <c r="AG58" s="257"/>
      <c r="AI58" s="249">
        <f>(V60*X60*Z60*AK54)</f>
        <v>0</v>
      </c>
    </row>
    <row r="59" spans="2:39">
      <c r="B59" s="255"/>
      <c r="Q59" s="257"/>
      <c r="R59" s="255"/>
      <c r="T59" s="271"/>
      <c r="V59" s="1" t="s">
        <v>3</v>
      </c>
      <c r="W59" s="1"/>
      <c r="X59" s="1" t="s">
        <v>4</v>
      </c>
      <c r="Y59" s="1"/>
      <c r="Z59" s="1"/>
      <c r="AA59" s="1"/>
      <c r="AB59" s="1" t="s">
        <v>310</v>
      </c>
      <c r="AC59" s="1"/>
      <c r="AD59" s="1"/>
      <c r="AF59" s="272"/>
      <c r="AG59" s="257"/>
      <c r="AI59" s="249">
        <f>(V60*X60*Z60*AK55)</f>
        <v>0</v>
      </c>
    </row>
    <row r="60" spans="2:39">
      <c r="B60" s="255"/>
      <c r="Q60" s="257"/>
      <c r="R60" s="255"/>
      <c r="T60" s="3" t="s">
        <v>12</v>
      </c>
      <c r="U60" s="231" t="s">
        <v>1</v>
      </c>
      <c r="V60" s="215">
        <v>0</v>
      </c>
      <c r="W60" s="231" t="s">
        <v>2</v>
      </c>
      <c r="X60" s="215">
        <v>3.57</v>
      </c>
      <c r="Y60" s="231" t="s">
        <v>2</v>
      </c>
      <c r="Z60" s="215">
        <v>1.5</v>
      </c>
      <c r="AA60" s="231" t="s">
        <v>2</v>
      </c>
      <c r="AB60" s="231" t="s">
        <v>125</v>
      </c>
      <c r="AD60" s="216"/>
      <c r="AE60" s="231" t="s">
        <v>1</v>
      </c>
      <c r="AF60" s="268">
        <f>IF(AI60&gt;0,AI60,0)</f>
        <v>0</v>
      </c>
      <c r="AG60" s="257"/>
      <c r="AI60" s="270">
        <f>IF(AB60="SI",AI58,AI59)</f>
        <v>0</v>
      </c>
    </row>
    <row r="61" spans="2:39">
      <c r="B61" s="255"/>
      <c r="Q61" s="257"/>
      <c r="R61" s="255"/>
      <c r="T61" s="271"/>
      <c r="AF61" s="272"/>
      <c r="AG61" s="257"/>
    </row>
    <row r="62" spans="2:39">
      <c r="B62" s="255"/>
      <c r="Q62" s="257"/>
      <c r="R62" s="255"/>
      <c r="T62" s="278"/>
      <c r="U62" s="279"/>
      <c r="V62" s="279"/>
      <c r="W62" s="279"/>
      <c r="X62" s="279"/>
      <c r="Y62" s="279"/>
      <c r="Z62" s="279"/>
      <c r="AA62" s="279"/>
      <c r="AB62" s="279"/>
      <c r="AC62" s="279"/>
      <c r="AD62" s="280"/>
      <c r="AE62" s="280"/>
      <c r="AF62" s="281">
        <f>AF56+AF60</f>
        <v>0</v>
      </c>
      <c r="AG62" s="257"/>
    </row>
    <row r="63" spans="2:39">
      <c r="B63" s="255"/>
      <c r="Q63" s="257"/>
      <c r="R63" s="255"/>
      <c r="AG63" s="257"/>
    </row>
    <row r="64" spans="2:39" ht="14.25">
      <c r="B64" s="255"/>
      <c r="Q64" s="257"/>
      <c r="R64" s="255"/>
      <c r="T64" s="286"/>
      <c r="U64" s="287"/>
      <c r="V64" s="260" t="s">
        <v>452</v>
      </c>
      <c r="W64" s="260"/>
      <c r="X64" s="260" t="s">
        <v>13</v>
      </c>
      <c r="Y64" s="260"/>
      <c r="Z64" s="260" t="s">
        <v>14</v>
      </c>
      <c r="AA64" s="260"/>
      <c r="AB64" s="260" t="s">
        <v>15</v>
      </c>
      <c r="AC64" s="260"/>
      <c r="AD64" s="260"/>
      <c r="AE64" s="287"/>
      <c r="AF64" s="288"/>
      <c r="AG64" s="257"/>
      <c r="AI64" s="249">
        <f>(V66*X66*Z66*AK64)</f>
        <v>0</v>
      </c>
      <c r="AJ64" s="250" t="s">
        <v>128</v>
      </c>
      <c r="AK64" s="250">
        <v>0.65</v>
      </c>
      <c r="AL64" s="250" t="s">
        <v>240</v>
      </c>
      <c r="AM64" s="250" t="s">
        <v>241</v>
      </c>
    </row>
    <row r="65" spans="2:39">
      <c r="B65" s="255"/>
      <c r="Q65" s="257"/>
      <c r="R65" s="255"/>
      <c r="T65" s="271"/>
      <c r="V65" s="1" t="s">
        <v>3</v>
      </c>
      <c r="W65" s="1"/>
      <c r="X65" s="1" t="s">
        <v>4</v>
      </c>
      <c r="Y65" s="1"/>
      <c r="Z65" s="1"/>
      <c r="AA65" s="1"/>
      <c r="AB65" s="1" t="s">
        <v>310</v>
      </c>
      <c r="AC65" s="1"/>
      <c r="AD65" s="1"/>
      <c r="AF65" s="272"/>
      <c r="AG65" s="257"/>
      <c r="AI65" s="249">
        <f>(V66*X66*Z66*AK65)</f>
        <v>0</v>
      </c>
      <c r="AJ65" s="250" t="s">
        <v>125</v>
      </c>
      <c r="AK65" s="250">
        <v>1</v>
      </c>
      <c r="AM65" s="250">
        <v>0.5</v>
      </c>
    </row>
    <row r="66" spans="2:39">
      <c r="B66" s="255"/>
      <c r="Q66" s="257"/>
      <c r="R66" s="255"/>
      <c r="T66" s="3" t="s">
        <v>11</v>
      </c>
      <c r="U66" s="231" t="s">
        <v>1</v>
      </c>
      <c r="V66" s="215">
        <v>0</v>
      </c>
      <c r="W66" s="231" t="s">
        <v>2</v>
      </c>
      <c r="X66" s="215">
        <v>9.5399999999999999E-2</v>
      </c>
      <c r="Y66" s="231" t="s">
        <v>2</v>
      </c>
      <c r="Z66" s="215">
        <v>1</v>
      </c>
      <c r="AA66" s="231" t="s">
        <v>2</v>
      </c>
      <c r="AB66" s="231" t="s">
        <v>125</v>
      </c>
      <c r="AD66" s="216"/>
      <c r="AE66" s="231" t="s">
        <v>1</v>
      </c>
      <c r="AF66" s="268">
        <f>IF(AI66&gt;0,AI66,0)</f>
        <v>0</v>
      </c>
      <c r="AG66" s="257"/>
      <c r="AI66" s="270">
        <f>IF(AB66="SI",AI64,AI65)</f>
        <v>0</v>
      </c>
      <c r="AL66" s="250">
        <v>1</v>
      </c>
      <c r="AM66" s="250">
        <v>1</v>
      </c>
    </row>
    <row r="67" spans="2:39">
      <c r="B67" s="255"/>
      <c r="Q67" s="257"/>
      <c r="R67" s="255"/>
      <c r="T67" s="271"/>
      <c r="AF67" s="272"/>
      <c r="AG67" s="257"/>
      <c r="AL67" s="250">
        <v>1.5</v>
      </c>
      <c r="AM67" s="250">
        <v>1.5</v>
      </c>
    </row>
    <row r="68" spans="2:39" ht="14.25">
      <c r="B68" s="255"/>
      <c r="Q68" s="257"/>
      <c r="R68" s="255"/>
      <c r="T68" s="271"/>
      <c r="V68" s="274" t="s">
        <v>452</v>
      </c>
      <c r="W68" s="274"/>
      <c r="X68" s="274" t="s">
        <v>16</v>
      </c>
      <c r="Y68" s="274"/>
      <c r="Z68" s="274" t="s">
        <v>17</v>
      </c>
      <c r="AA68" s="274"/>
      <c r="AB68" s="274" t="s">
        <v>15</v>
      </c>
      <c r="AC68" s="274"/>
      <c r="AD68" s="274"/>
      <c r="AF68" s="272"/>
      <c r="AG68" s="257"/>
      <c r="AI68" s="249">
        <f>(V70*X70*Z70*AK64)</f>
        <v>0</v>
      </c>
    </row>
    <row r="69" spans="2:39">
      <c r="B69" s="255"/>
      <c r="Q69" s="257"/>
      <c r="R69" s="255"/>
      <c r="T69" s="271"/>
      <c r="V69" s="1" t="s">
        <v>3</v>
      </c>
      <c r="W69" s="1"/>
      <c r="X69" s="1" t="s">
        <v>4</v>
      </c>
      <c r="Y69" s="1"/>
      <c r="Z69" s="1"/>
      <c r="AA69" s="1"/>
      <c r="AB69" s="1" t="s">
        <v>310</v>
      </c>
      <c r="AC69" s="1"/>
      <c r="AD69" s="1"/>
      <c r="AF69" s="272"/>
      <c r="AG69" s="257"/>
      <c r="AI69" s="249">
        <f>(V70*X70*Z70*AK65)</f>
        <v>0</v>
      </c>
    </row>
    <row r="70" spans="2:39">
      <c r="B70" s="255"/>
      <c r="Q70" s="257"/>
      <c r="R70" s="255"/>
      <c r="T70" s="3" t="s">
        <v>12</v>
      </c>
      <c r="U70" s="231" t="s">
        <v>1</v>
      </c>
      <c r="V70" s="215">
        <v>0</v>
      </c>
      <c r="W70" s="231" t="s">
        <v>2</v>
      </c>
      <c r="X70" s="215">
        <v>7.1400000000000005E-2</v>
      </c>
      <c r="Y70" s="231" t="s">
        <v>2</v>
      </c>
      <c r="Z70" s="215">
        <v>1.5</v>
      </c>
      <c r="AA70" s="231" t="s">
        <v>2</v>
      </c>
      <c r="AB70" s="231" t="s">
        <v>125</v>
      </c>
      <c r="AD70" s="216"/>
      <c r="AE70" s="231" t="s">
        <v>1</v>
      </c>
      <c r="AF70" s="268">
        <f>IF(AI70&gt;0,AI70,0)</f>
        <v>0</v>
      </c>
      <c r="AG70" s="257"/>
      <c r="AI70" s="270">
        <f>IF(AB70="SI",AI68,AI69)</f>
        <v>0</v>
      </c>
    </row>
    <row r="71" spans="2:39">
      <c r="B71" s="255"/>
      <c r="Q71" s="257"/>
      <c r="R71" s="255"/>
      <c r="T71" s="271"/>
      <c r="AF71" s="272"/>
      <c r="AG71" s="257"/>
    </row>
    <row r="72" spans="2:39">
      <c r="B72" s="255"/>
      <c r="Q72" s="257"/>
      <c r="R72" s="255"/>
      <c r="T72" s="278"/>
      <c r="U72" s="279"/>
      <c r="V72" s="279"/>
      <c r="W72" s="279"/>
      <c r="X72" s="279"/>
      <c r="Y72" s="279"/>
      <c r="Z72" s="279"/>
      <c r="AA72" s="279"/>
      <c r="AB72" s="279"/>
      <c r="AC72" s="279"/>
      <c r="AD72" s="280" t="s">
        <v>21</v>
      </c>
      <c r="AE72" s="280"/>
      <c r="AF72" s="281">
        <f>AF66+AF70</f>
        <v>0</v>
      </c>
      <c r="AG72" s="257"/>
    </row>
    <row r="73" spans="2:39">
      <c r="B73" s="255"/>
      <c r="Q73" s="257"/>
      <c r="R73" s="255"/>
      <c r="AG73" s="257"/>
    </row>
    <row r="74" spans="2:39">
      <c r="B74" s="255"/>
      <c r="Q74" s="257"/>
      <c r="R74" s="255"/>
      <c r="T74" s="449" t="s">
        <v>515</v>
      </c>
      <c r="AD74" s="256" t="s">
        <v>285</v>
      </c>
      <c r="AE74" s="256"/>
      <c r="AF74" s="282">
        <f>AF72+AF62+AF52</f>
        <v>0</v>
      </c>
      <c r="AG74" s="257"/>
    </row>
    <row r="75" spans="2:39" ht="13.5" thickBot="1">
      <c r="B75" s="283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5"/>
      <c r="R75" s="283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5"/>
    </row>
    <row r="76" spans="2:39" ht="14.1" customHeight="1">
      <c r="B76" s="724" t="s">
        <v>680</v>
      </c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6"/>
      <c r="R76" s="724" t="s">
        <v>680</v>
      </c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6"/>
      <c r="AG76" s="749" t="s">
        <v>498</v>
      </c>
    </row>
    <row r="77" spans="2:39" ht="14.1" customHeight="1">
      <c r="B77" s="727"/>
      <c r="C77" s="728"/>
      <c r="D77" s="728"/>
      <c r="E77" s="728"/>
      <c r="F77" s="728"/>
      <c r="G77" s="728"/>
      <c r="H77" s="728"/>
      <c r="I77" s="728"/>
      <c r="J77" s="728"/>
      <c r="K77" s="728"/>
      <c r="L77" s="728"/>
      <c r="M77" s="728"/>
      <c r="N77" s="728"/>
      <c r="O77" s="728"/>
      <c r="P77" s="728"/>
      <c r="Q77" s="729"/>
      <c r="R77" s="727"/>
      <c r="S77" s="728"/>
      <c r="T77" s="728"/>
      <c r="U77" s="728"/>
      <c r="V77" s="728"/>
      <c r="W77" s="728"/>
      <c r="X77" s="728"/>
      <c r="Y77" s="728"/>
      <c r="Z77" s="728"/>
      <c r="AA77" s="728"/>
      <c r="AB77" s="728"/>
      <c r="AC77" s="728"/>
      <c r="AD77" s="728"/>
      <c r="AE77" s="728"/>
      <c r="AF77" s="729"/>
      <c r="AG77" s="750"/>
    </row>
    <row r="78" spans="2:39" ht="12.75" customHeight="1">
      <c r="B78" s="730" t="s">
        <v>22</v>
      </c>
      <c r="C78" s="731"/>
      <c r="D78" s="731"/>
      <c r="E78" s="731"/>
      <c r="F78" s="731"/>
      <c r="G78" s="731"/>
      <c r="H78" s="731"/>
      <c r="I78" s="731"/>
      <c r="J78" s="731"/>
      <c r="K78" s="731"/>
      <c r="L78" s="731"/>
      <c r="M78" s="731"/>
      <c r="N78" s="731"/>
      <c r="O78" s="731"/>
      <c r="P78" s="731"/>
      <c r="Q78" s="732"/>
      <c r="R78" s="781" t="s">
        <v>22</v>
      </c>
      <c r="S78" s="782"/>
      <c r="T78" s="782"/>
      <c r="U78" s="782"/>
      <c r="V78" s="782"/>
      <c r="W78" s="782"/>
      <c r="X78" s="782"/>
      <c r="Y78" s="782"/>
      <c r="Z78" s="782"/>
      <c r="AA78" s="782"/>
      <c r="AB78" s="782"/>
      <c r="AC78" s="782"/>
      <c r="AD78" s="782"/>
      <c r="AE78" s="782"/>
      <c r="AF78" s="783"/>
      <c r="AG78" s="750"/>
    </row>
    <row r="79" spans="2:39" ht="13.5" customHeight="1" thickBot="1">
      <c r="B79" s="730"/>
      <c r="C79" s="731"/>
      <c r="D79" s="731"/>
      <c r="E79" s="731"/>
      <c r="F79" s="731"/>
      <c r="G79" s="731"/>
      <c r="H79" s="731"/>
      <c r="I79" s="731"/>
      <c r="J79" s="731"/>
      <c r="K79" s="731"/>
      <c r="L79" s="731"/>
      <c r="M79" s="731"/>
      <c r="N79" s="731"/>
      <c r="O79" s="731"/>
      <c r="P79" s="731"/>
      <c r="Q79" s="732"/>
      <c r="R79" s="784"/>
      <c r="S79" s="785"/>
      <c r="T79" s="785"/>
      <c r="U79" s="785"/>
      <c r="V79" s="785"/>
      <c r="W79" s="785"/>
      <c r="X79" s="785"/>
      <c r="Y79" s="785"/>
      <c r="Z79" s="785"/>
      <c r="AA79" s="785"/>
      <c r="AB79" s="785"/>
      <c r="AC79" s="785"/>
      <c r="AD79" s="785"/>
      <c r="AE79" s="785"/>
      <c r="AF79" s="786"/>
      <c r="AG79" s="751"/>
    </row>
    <row r="80" spans="2:39">
      <c r="B80" s="252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4"/>
      <c r="R80" s="252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3"/>
      <c r="AF80" s="253"/>
      <c r="AG80" s="254"/>
    </row>
    <row r="81" spans="2:33">
      <c r="B81" s="255"/>
      <c r="G81" s="256"/>
      <c r="I81" s="256"/>
      <c r="K81" s="256"/>
      <c r="M81" s="256"/>
      <c r="Q81" s="257"/>
      <c r="R81" s="255"/>
      <c r="W81" s="256"/>
      <c r="Y81" s="256"/>
      <c r="AA81" s="256"/>
      <c r="AC81" s="256"/>
      <c r="AG81" s="257"/>
    </row>
    <row r="82" spans="2:33">
      <c r="B82" s="255"/>
      <c r="Q82" s="257"/>
      <c r="R82" s="255"/>
      <c r="V82" s="289" t="s">
        <v>307</v>
      </c>
      <c r="AG82" s="257"/>
    </row>
    <row r="83" spans="2:33" ht="14.25">
      <c r="B83" s="255"/>
      <c r="D83" s="256" t="s">
        <v>23</v>
      </c>
      <c r="F83" s="289" t="s">
        <v>227</v>
      </c>
      <c r="J83" s="289" t="s">
        <v>228</v>
      </c>
      <c r="P83" s="267"/>
      <c r="Q83" s="257"/>
      <c r="R83" s="255"/>
      <c r="V83" s="289"/>
      <c r="AG83" s="257"/>
    </row>
    <row r="84" spans="2:33">
      <c r="B84" s="255"/>
      <c r="Q84" s="257"/>
      <c r="R84" s="255"/>
      <c r="AD84" s="256"/>
      <c r="AF84" s="267"/>
      <c r="AG84" s="257"/>
    </row>
    <row r="85" spans="2:33" ht="14.25">
      <c r="B85" s="255"/>
      <c r="D85" s="256" t="s">
        <v>146</v>
      </c>
      <c r="F85" s="289" t="s">
        <v>229</v>
      </c>
      <c r="J85" s="289" t="s">
        <v>230</v>
      </c>
      <c r="Q85" s="257"/>
      <c r="R85" s="255"/>
      <c r="V85" s="256" t="s">
        <v>267</v>
      </c>
      <c r="X85" s="733">
        <f>'QCC (A)'!D72</f>
        <v>0</v>
      </c>
      <c r="Y85" s="769"/>
      <c r="Z85" s="769"/>
      <c r="AB85" s="248" t="s">
        <v>305</v>
      </c>
      <c r="AG85" s="257"/>
    </row>
    <row r="86" spans="2:33">
      <c r="B86" s="255"/>
      <c r="N86" s="256"/>
      <c r="Q86" s="257"/>
      <c r="R86" s="255"/>
      <c r="X86" s="733"/>
      <c r="Y86" s="769"/>
      <c r="Z86" s="769"/>
      <c r="AG86" s="257"/>
    </row>
    <row r="87" spans="2:33" ht="14.25">
      <c r="B87" s="255"/>
      <c r="D87" s="256" t="s">
        <v>217</v>
      </c>
      <c r="F87" s="289" t="s">
        <v>231</v>
      </c>
      <c r="J87" s="289" t="s">
        <v>232</v>
      </c>
      <c r="P87" s="267"/>
      <c r="Q87" s="257"/>
      <c r="R87" s="255"/>
      <c r="Z87" s="289"/>
      <c r="AG87" s="257"/>
    </row>
    <row r="88" spans="2:33">
      <c r="B88" s="255"/>
      <c r="Q88" s="257"/>
      <c r="R88" s="255"/>
      <c r="V88" s="256" t="s">
        <v>268</v>
      </c>
      <c r="X88" s="733">
        <f>'QCC (B)'!E40</f>
        <v>0</v>
      </c>
      <c r="Y88" s="769"/>
      <c r="Z88" s="769"/>
      <c r="AB88" s="248" t="s">
        <v>303</v>
      </c>
      <c r="AD88" s="256"/>
      <c r="AF88" s="267"/>
      <c r="AG88" s="257"/>
    </row>
    <row r="89" spans="2:33" ht="14.25">
      <c r="B89" s="255"/>
      <c r="D89" s="256" t="s">
        <v>226</v>
      </c>
      <c r="F89" s="289" t="s">
        <v>233</v>
      </c>
      <c r="J89" s="289" t="s">
        <v>234</v>
      </c>
      <c r="Q89" s="257"/>
      <c r="R89" s="255"/>
      <c r="Z89" s="289"/>
      <c r="AG89" s="257"/>
    </row>
    <row r="90" spans="2:33">
      <c r="B90" s="255"/>
      <c r="Q90" s="257"/>
      <c r="R90" s="255"/>
      <c r="AG90" s="257"/>
    </row>
    <row r="91" spans="2:33">
      <c r="B91" s="255"/>
      <c r="Q91" s="257"/>
      <c r="R91" s="255"/>
      <c r="V91" s="256" t="s">
        <v>270</v>
      </c>
      <c r="X91" s="733">
        <f>'QCC (C)'!E23</f>
        <v>0</v>
      </c>
      <c r="Y91" s="769"/>
      <c r="Z91" s="769"/>
      <c r="AB91" s="248" t="s">
        <v>306</v>
      </c>
      <c r="AG91" s="257"/>
    </row>
    <row r="92" spans="2:33">
      <c r="B92" s="255"/>
      <c r="Q92" s="257"/>
      <c r="R92" s="255"/>
      <c r="AG92" s="257"/>
    </row>
    <row r="93" spans="2:33">
      <c r="B93" s="255"/>
      <c r="Q93" s="257"/>
      <c r="R93" s="255"/>
      <c r="AG93" s="257"/>
    </row>
    <row r="94" spans="2:33">
      <c r="B94" s="255"/>
      <c r="Q94" s="257"/>
      <c r="R94" s="255"/>
      <c r="V94" s="256" t="s">
        <v>269</v>
      </c>
      <c r="X94" s="733">
        <f>'QCC (D)'!G38</f>
        <v>0</v>
      </c>
      <c r="Y94" s="769"/>
      <c r="Z94" s="769"/>
      <c r="AB94" s="248" t="s">
        <v>304</v>
      </c>
      <c r="AG94" s="257"/>
    </row>
    <row r="95" spans="2:33">
      <c r="B95" s="255"/>
      <c r="Q95" s="257"/>
      <c r="R95" s="255"/>
      <c r="AG95" s="257"/>
    </row>
    <row r="96" spans="2:33">
      <c r="B96" s="255"/>
      <c r="Q96" s="257"/>
      <c r="R96" s="255"/>
      <c r="AG96" s="257"/>
    </row>
    <row r="97" spans="2:33" ht="15">
      <c r="B97" s="255"/>
      <c r="Q97" s="257"/>
      <c r="R97" s="255"/>
      <c r="V97" s="256" t="s">
        <v>271</v>
      </c>
      <c r="X97" s="733">
        <f>'QCC (A.bis) cambio d''uso'!D100</f>
        <v>0</v>
      </c>
      <c r="Y97" s="734"/>
      <c r="Z97" s="734"/>
      <c r="AB97" s="248" t="s">
        <v>432</v>
      </c>
      <c r="AG97" s="257"/>
    </row>
    <row r="98" spans="2:33">
      <c r="B98" s="255"/>
      <c r="Q98" s="257"/>
      <c r="R98" s="255"/>
      <c r="AB98" s="248" t="s">
        <v>448</v>
      </c>
      <c r="AG98" s="257"/>
    </row>
    <row r="99" spans="2:33">
      <c r="B99" s="255"/>
      <c r="D99" s="256"/>
      <c r="F99" s="289"/>
      <c r="Q99" s="257"/>
      <c r="R99" s="255"/>
      <c r="Z99" s="289"/>
      <c r="AG99" s="257"/>
    </row>
    <row r="100" spans="2:33" ht="15">
      <c r="B100" s="255"/>
      <c r="D100" s="256"/>
      <c r="F100" s="290"/>
      <c r="H100" s="256"/>
      <c r="J100" s="256"/>
      <c r="L100" s="256"/>
      <c r="Q100" s="257"/>
      <c r="R100" s="255"/>
      <c r="T100" s="256"/>
      <c r="V100" s="256" t="s">
        <v>272</v>
      </c>
      <c r="X100" s="733">
        <f>'QCC (C.bis) cambio d''uso'!E59</f>
        <v>0</v>
      </c>
      <c r="Y100" s="734"/>
      <c r="Z100" s="734"/>
      <c r="AB100" s="248" t="s">
        <v>446</v>
      </c>
      <c r="AG100" s="257"/>
    </row>
    <row r="101" spans="2:33">
      <c r="B101" s="255"/>
      <c r="D101" s="256"/>
      <c r="F101" s="289"/>
      <c r="Q101" s="257"/>
      <c r="R101" s="255"/>
      <c r="T101" s="256"/>
      <c r="Z101" s="289"/>
      <c r="AB101" s="248" t="s">
        <v>449</v>
      </c>
      <c r="AG101" s="257"/>
    </row>
    <row r="102" spans="2:33">
      <c r="B102" s="255"/>
      <c r="G102" s="256"/>
      <c r="I102" s="256"/>
      <c r="K102" s="256"/>
      <c r="M102" s="256"/>
      <c r="Q102" s="257"/>
      <c r="R102" s="255"/>
      <c r="T102" s="256"/>
      <c r="AD102" s="256"/>
      <c r="AG102" s="257"/>
    </row>
    <row r="103" spans="2:33">
      <c r="B103" s="255"/>
      <c r="D103" s="256"/>
      <c r="F103" s="289"/>
      <c r="Q103" s="257"/>
      <c r="R103" s="255"/>
      <c r="V103" s="256" t="s">
        <v>273</v>
      </c>
      <c r="X103" s="733">
        <f>'QCC (C.ter) cambio d''uso'!E59</f>
        <v>0</v>
      </c>
      <c r="Y103" s="769"/>
      <c r="Z103" s="769"/>
      <c r="AB103" s="248" t="s">
        <v>447</v>
      </c>
      <c r="AG103" s="257"/>
    </row>
    <row r="104" spans="2:33">
      <c r="B104" s="255"/>
      <c r="D104" s="256"/>
      <c r="F104" s="256"/>
      <c r="H104" s="256"/>
      <c r="J104" s="256"/>
      <c r="L104" s="256"/>
      <c r="Q104" s="257"/>
      <c r="R104" s="255"/>
      <c r="T104" s="256"/>
      <c r="AB104" s="248" t="s">
        <v>448</v>
      </c>
      <c r="AG104" s="257"/>
    </row>
    <row r="105" spans="2:33">
      <c r="B105" s="255"/>
      <c r="D105" s="256"/>
      <c r="F105" s="289"/>
      <c r="Q105" s="257"/>
      <c r="R105" s="255"/>
      <c r="T105" s="256"/>
      <c r="V105" s="279"/>
      <c r="W105" s="279"/>
      <c r="X105" s="279"/>
      <c r="Y105" s="279"/>
      <c r="Z105" s="279"/>
      <c r="AG105" s="257"/>
    </row>
    <row r="106" spans="2:33">
      <c r="B106" s="255"/>
      <c r="Q106" s="257"/>
      <c r="R106" s="255"/>
      <c r="T106" s="256"/>
      <c r="AG106" s="257"/>
    </row>
    <row r="107" spans="2:33">
      <c r="B107" s="255"/>
      <c r="Q107" s="257"/>
      <c r="R107" s="255"/>
      <c r="V107" s="256" t="s">
        <v>237</v>
      </c>
      <c r="X107" s="770">
        <f>X85+X88+X91+X94+X97+X100+X103</f>
        <v>0</v>
      </c>
      <c r="Y107" s="771"/>
      <c r="Z107" s="771"/>
      <c r="AG107" s="257"/>
    </row>
    <row r="108" spans="2:33">
      <c r="B108" s="255"/>
      <c r="Q108" s="257"/>
      <c r="R108" s="255"/>
      <c r="AG108" s="257"/>
    </row>
    <row r="109" spans="2:33">
      <c r="B109" s="255"/>
      <c r="Q109" s="257"/>
      <c r="R109" s="255"/>
      <c r="AG109" s="257"/>
    </row>
    <row r="110" spans="2:33">
      <c r="B110" s="255"/>
      <c r="Q110" s="257"/>
      <c r="R110" s="255"/>
      <c r="V110" s="449" t="s">
        <v>445</v>
      </c>
      <c r="AG110" s="257"/>
    </row>
    <row r="111" spans="2:33">
      <c r="B111" s="255"/>
      <c r="Q111" s="257"/>
      <c r="R111" s="255"/>
      <c r="AG111" s="257"/>
    </row>
    <row r="112" spans="2:33" ht="13.5" thickBot="1">
      <c r="B112" s="283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5"/>
      <c r="R112" s="283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5"/>
    </row>
    <row r="113" spans="2:42" ht="12.75" customHeight="1">
      <c r="B113" s="718" t="s">
        <v>680</v>
      </c>
      <c r="C113" s="719"/>
      <c r="D113" s="719"/>
      <c r="E113" s="719"/>
      <c r="F113" s="719"/>
      <c r="G113" s="719"/>
      <c r="H113" s="719"/>
      <c r="I113" s="719"/>
      <c r="J113" s="719"/>
      <c r="K113" s="719"/>
      <c r="L113" s="719"/>
      <c r="M113" s="719"/>
      <c r="N113" s="719"/>
      <c r="O113" s="719"/>
      <c r="P113" s="719"/>
      <c r="Q113" s="720"/>
      <c r="R113" s="718" t="s">
        <v>680</v>
      </c>
      <c r="S113" s="719"/>
      <c r="T113" s="719"/>
      <c r="U113" s="719"/>
      <c r="V113" s="719"/>
      <c r="W113" s="719"/>
      <c r="X113" s="719"/>
      <c r="Y113" s="719"/>
      <c r="Z113" s="719"/>
      <c r="AA113" s="719"/>
      <c r="AB113" s="719"/>
      <c r="AC113" s="719"/>
      <c r="AD113" s="719"/>
      <c r="AE113" s="719"/>
      <c r="AF113" s="720"/>
      <c r="AG113" s="746" t="s">
        <v>499</v>
      </c>
    </row>
    <row r="114" spans="2:42" ht="12.75" customHeight="1">
      <c r="B114" s="721"/>
      <c r="C114" s="722"/>
      <c r="D114" s="722"/>
      <c r="E114" s="722"/>
      <c r="F114" s="722"/>
      <c r="G114" s="722"/>
      <c r="H114" s="722"/>
      <c r="I114" s="722"/>
      <c r="J114" s="722"/>
      <c r="K114" s="722"/>
      <c r="L114" s="722"/>
      <c r="M114" s="722"/>
      <c r="N114" s="722"/>
      <c r="O114" s="722"/>
      <c r="P114" s="722"/>
      <c r="Q114" s="723"/>
      <c r="R114" s="721"/>
      <c r="S114" s="722"/>
      <c r="T114" s="722"/>
      <c r="U114" s="722"/>
      <c r="V114" s="722"/>
      <c r="W114" s="722"/>
      <c r="X114" s="722"/>
      <c r="Y114" s="722"/>
      <c r="Z114" s="722"/>
      <c r="AA114" s="722"/>
      <c r="AB114" s="722"/>
      <c r="AC114" s="722"/>
      <c r="AD114" s="722"/>
      <c r="AE114" s="722"/>
      <c r="AF114" s="723"/>
      <c r="AG114" s="747"/>
    </row>
    <row r="115" spans="2:42" ht="12.75" customHeight="1">
      <c r="B115" s="743" t="s">
        <v>476</v>
      </c>
      <c r="C115" s="744"/>
      <c r="D115" s="744"/>
      <c r="E115" s="744"/>
      <c r="F115" s="744"/>
      <c r="G115" s="744"/>
      <c r="H115" s="744"/>
      <c r="I115" s="744"/>
      <c r="J115" s="744"/>
      <c r="K115" s="744"/>
      <c r="L115" s="744"/>
      <c r="M115" s="744"/>
      <c r="N115" s="744"/>
      <c r="O115" s="744"/>
      <c r="P115" s="744"/>
      <c r="Q115" s="745"/>
      <c r="R115" s="752" t="s">
        <v>476</v>
      </c>
      <c r="S115" s="753"/>
      <c r="T115" s="753"/>
      <c r="U115" s="753"/>
      <c r="V115" s="753"/>
      <c r="W115" s="753"/>
      <c r="X115" s="753"/>
      <c r="Y115" s="753"/>
      <c r="Z115" s="753"/>
      <c r="AA115" s="753"/>
      <c r="AB115" s="753"/>
      <c r="AC115" s="753"/>
      <c r="AD115" s="753"/>
      <c r="AE115" s="753"/>
      <c r="AF115" s="754"/>
      <c r="AG115" s="747"/>
    </row>
    <row r="116" spans="2:42" ht="13.5" customHeight="1" thickBot="1">
      <c r="B116" s="743"/>
      <c r="C116" s="744"/>
      <c r="D116" s="744"/>
      <c r="E116" s="744"/>
      <c r="F116" s="744"/>
      <c r="G116" s="744"/>
      <c r="H116" s="744"/>
      <c r="I116" s="744"/>
      <c r="J116" s="744"/>
      <c r="K116" s="744"/>
      <c r="L116" s="744"/>
      <c r="M116" s="744"/>
      <c r="N116" s="744"/>
      <c r="O116" s="744"/>
      <c r="P116" s="744"/>
      <c r="Q116" s="745"/>
      <c r="R116" s="755"/>
      <c r="S116" s="756"/>
      <c r="T116" s="756"/>
      <c r="U116" s="756"/>
      <c r="V116" s="756"/>
      <c r="W116" s="756"/>
      <c r="X116" s="756"/>
      <c r="Y116" s="756"/>
      <c r="Z116" s="756"/>
      <c r="AA116" s="756"/>
      <c r="AB116" s="756"/>
      <c r="AC116" s="756"/>
      <c r="AD116" s="756"/>
      <c r="AE116" s="756"/>
      <c r="AF116" s="757"/>
      <c r="AG116" s="748"/>
    </row>
    <row r="117" spans="2:42">
      <c r="B117" s="252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91"/>
      <c r="Q117" s="469"/>
      <c r="R117" s="252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378"/>
      <c r="AE117" s="253"/>
      <c r="AF117" s="292"/>
      <c r="AG117" s="293"/>
      <c r="AJ117" s="294"/>
    </row>
    <row r="118" spans="2:42" ht="15">
      <c r="B118" s="255"/>
      <c r="K118" s="274"/>
      <c r="L118" s="274"/>
      <c r="M118" s="274"/>
      <c r="N118" s="274"/>
      <c r="O118" s="251"/>
      <c r="P118" s="295"/>
      <c r="Q118" s="470"/>
      <c r="R118" s="255"/>
      <c r="W118" s="274"/>
      <c r="Y118" s="274"/>
      <c r="Z118" s="274"/>
      <c r="AA118" s="256"/>
      <c r="AB118" s="256"/>
      <c r="AC118" s="256"/>
      <c r="AD118" s="758" t="s">
        <v>516</v>
      </c>
      <c r="AE118" s="634"/>
      <c r="AF118" s="634"/>
      <c r="AG118" s="759"/>
      <c r="AJ118" s="294"/>
    </row>
    <row r="119" spans="2:42" ht="15">
      <c r="B119" s="255"/>
      <c r="D119" s="251"/>
      <c r="E119" s="251"/>
      <c r="G119" s="274"/>
      <c r="I119" s="274"/>
      <c r="K119" s="1"/>
      <c r="L119" s="1"/>
      <c r="M119" s="1"/>
      <c r="N119" s="1"/>
      <c r="O119" s="1"/>
      <c r="P119" s="295"/>
      <c r="Q119" s="470"/>
      <c r="R119" s="255"/>
      <c r="V119" s="274" t="s">
        <v>274</v>
      </c>
      <c r="W119" s="274"/>
      <c r="X119" s="274" t="s">
        <v>7</v>
      </c>
      <c r="Y119" s="274"/>
      <c r="Z119" s="274" t="s">
        <v>235</v>
      </c>
      <c r="AB119" s="274"/>
      <c r="AD119" s="807" t="s">
        <v>537</v>
      </c>
      <c r="AE119" s="808"/>
      <c r="AF119" s="808"/>
      <c r="AG119" s="809"/>
      <c r="AI119" s="249">
        <v>500</v>
      </c>
      <c r="AJ119" s="294"/>
    </row>
    <row r="120" spans="2:42">
      <c r="B120" s="255"/>
      <c r="F120" s="1"/>
      <c r="G120" s="1"/>
      <c r="H120" s="1" t="s">
        <v>3</v>
      </c>
      <c r="I120" s="1"/>
      <c r="L120" s="216"/>
      <c r="N120" s="216"/>
      <c r="P120" s="267"/>
      <c r="R120" s="255"/>
      <c r="V120" s="1"/>
      <c r="W120" s="1"/>
      <c r="X120" s="1" t="s">
        <v>3</v>
      </c>
      <c r="Y120" s="1"/>
      <c r="Z120" s="1"/>
      <c r="AB120" s="1" t="s">
        <v>3</v>
      </c>
      <c r="AD120" s="379"/>
      <c r="AF120" s="1"/>
      <c r="AG120" s="257"/>
      <c r="AI120" s="249">
        <v>200</v>
      </c>
    </row>
    <row r="121" spans="2:42" ht="15">
      <c r="B121" s="255"/>
      <c r="F121" s="256" t="s">
        <v>263</v>
      </c>
      <c r="G121" s="231" t="s">
        <v>1</v>
      </c>
      <c r="H121" s="256" t="s">
        <v>244</v>
      </c>
      <c r="I121" s="231" t="s">
        <v>2</v>
      </c>
      <c r="J121" s="256" t="s">
        <v>250</v>
      </c>
      <c r="L121" s="298" t="s">
        <v>264</v>
      </c>
      <c r="N121" s="299" t="s">
        <v>352</v>
      </c>
      <c r="R121" s="255"/>
      <c r="T121" s="300" t="s">
        <v>263</v>
      </c>
      <c r="U121" s="231" t="s">
        <v>1</v>
      </c>
      <c r="V121" s="247" t="s">
        <v>451</v>
      </c>
      <c r="X121" s="215">
        <v>0</v>
      </c>
      <c r="Y121" s="231" t="s">
        <v>2</v>
      </c>
      <c r="Z121" s="215"/>
      <c r="AA121" s="231" t="s">
        <v>1</v>
      </c>
      <c r="AB121" s="301">
        <f>X121*Z121</f>
        <v>0</v>
      </c>
      <c r="AD121" s="380" t="s">
        <v>451</v>
      </c>
      <c r="AE121" s="231" t="s">
        <v>1</v>
      </c>
      <c r="AF121" s="450"/>
      <c r="AG121" s="257" t="s">
        <v>174</v>
      </c>
      <c r="AI121" s="249">
        <v>30</v>
      </c>
    </row>
    <row r="122" spans="2:42">
      <c r="B122" s="255"/>
      <c r="D122" s="251"/>
      <c r="E122" s="251"/>
      <c r="F122" s="274"/>
      <c r="G122" s="274"/>
      <c r="H122" s="274"/>
      <c r="I122" s="274"/>
      <c r="J122" s="274"/>
      <c r="K122" s="274"/>
      <c r="L122" s="274"/>
      <c r="M122" s="274"/>
      <c r="N122" s="274"/>
      <c r="O122" s="251"/>
      <c r="P122" s="251"/>
      <c r="Q122" s="251"/>
      <c r="R122" s="255"/>
      <c r="V122" s="256"/>
      <c r="W122" s="256"/>
      <c r="X122" s="256"/>
      <c r="Y122" s="256"/>
      <c r="Z122" s="256"/>
      <c r="AA122" s="256"/>
      <c r="AB122" s="256"/>
      <c r="AC122" s="256"/>
      <c r="AD122" s="271" t="s">
        <v>399</v>
      </c>
      <c r="AE122" s="231" t="s">
        <v>1</v>
      </c>
      <c r="AF122" s="450">
        <v>0.3</v>
      </c>
      <c r="AG122" s="257"/>
      <c r="AP122" s="296" t="str">
        <f>AM124&amp;CHAR(10)&amp;AM129&amp;CHAR(10)&amp;AM131&amp;CHAR(10)&amp;AM148&amp;CHAR(10)&amp;AM173</f>
        <v xml:space="preserve"> [MPP1] = [mq] x 0,3 x [€/mq] 148,31 = 0 €
 [MPP2] = [mq] x 0,3 x [€/mq] 148,31 = 0 €
 [MSP1] = [mq] 0 x  [€/mq] 200 = 0 €
 [MSP2] = [mq] 0 x  [€/mq] 200 = 0 €
 [MVS] = [mq] 0 x  [€/mq] 200 = 0 €</v>
      </c>
    </row>
    <row r="123" spans="2:42">
      <c r="B123" s="25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R123" s="255"/>
      <c r="T123" s="300" t="s">
        <v>263</v>
      </c>
      <c r="U123" s="231" t="s">
        <v>1</v>
      </c>
      <c r="V123" s="247" t="s">
        <v>275</v>
      </c>
      <c r="X123" s="215"/>
      <c r="Y123" s="231" t="s">
        <v>2</v>
      </c>
      <c r="Z123" s="215"/>
      <c r="AA123" s="231" t="s">
        <v>1</v>
      </c>
      <c r="AB123" s="301">
        <f>X123*Z123</f>
        <v>0</v>
      </c>
      <c r="AD123" s="271" t="s">
        <v>400</v>
      </c>
      <c r="AE123" s="231" t="s">
        <v>1</v>
      </c>
      <c r="AF123" s="623">
        <v>148.31</v>
      </c>
      <c r="AG123" s="257" t="s">
        <v>110</v>
      </c>
      <c r="AI123" s="249" t="s">
        <v>451</v>
      </c>
    </row>
    <row r="124" spans="2:42">
      <c r="B124" s="255"/>
      <c r="F124" s="1"/>
      <c r="G124" s="1"/>
      <c r="H124" s="1" t="s">
        <v>3</v>
      </c>
      <c r="I124" s="1"/>
      <c r="J124" s="1" t="s">
        <v>4</v>
      </c>
      <c r="K124" s="1"/>
      <c r="L124" s="1"/>
      <c r="N124" s="216"/>
      <c r="P124" s="267"/>
      <c r="R124" s="255"/>
      <c r="AD124" s="3" t="s">
        <v>401</v>
      </c>
      <c r="AE124" s="231" t="s">
        <v>1</v>
      </c>
      <c r="AF124" s="381">
        <f>AF121*AF122*AF123</f>
        <v>0</v>
      </c>
      <c r="AG124" s="257"/>
      <c r="AI124" s="249" t="s">
        <v>275</v>
      </c>
      <c r="AM124" s="250" t="str">
        <f>" [MPP1] = [mq]"&amp;AF121&amp;" x "&amp;AF122&amp;" x [€/mq] "&amp;AF123&amp;" "&amp;AE124&amp;" "&amp;AF124&amp;""&amp; " €"</f>
        <v xml:space="preserve"> [MPP1] = [mq] x 0,3 x [€/mq] 148,31 = 0 €</v>
      </c>
    </row>
    <row r="125" spans="2:42" ht="15">
      <c r="B125" s="255"/>
      <c r="F125" s="256" t="s">
        <v>20</v>
      </c>
      <c r="G125" s="231" t="s">
        <v>1</v>
      </c>
      <c r="H125" s="256" t="s">
        <v>263</v>
      </c>
      <c r="I125" s="231" t="s">
        <v>2</v>
      </c>
      <c r="J125" s="256" t="s">
        <v>251</v>
      </c>
      <c r="L125" s="256" t="s">
        <v>265</v>
      </c>
      <c r="N125" s="299" t="s">
        <v>266</v>
      </c>
      <c r="R125" s="255"/>
      <c r="Z125" s="300" t="s">
        <v>286</v>
      </c>
      <c r="AA125" s="231" t="s">
        <v>1</v>
      </c>
      <c r="AB125" s="302">
        <f>AB121+AB123</f>
        <v>0</v>
      </c>
      <c r="AD125" s="271"/>
      <c r="AG125" s="257"/>
      <c r="AI125" s="249" t="s">
        <v>276</v>
      </c>
      <c r="AJ125" s="511">
        <f>AB125</f>
        <v>0</v>
      </c>
    </row>
    <row r="126" spans="2:42">
      <c r="B126" s="255"/>
      <c r="R126" s="255"/>
      <c r="AD126" s="380" t="s">
        <v>275</v>
      </c>
      <c r="AE126" s="231" t="s">
        <v>1</v>
      </c>
      <c r="AF126" s="450"/>
      <c r="AG126" s="257" t="s">
        <v>174</v>
      </c>
      <c r="AI126" s="249" t="s">
        <v>279</v>
      </c>
      <c r="AJ126" s="510">
        <f>ROUND(AJ125,2)</f>
        <v>0</v>
      </c>
    </row>
    <row r="127" spans="2:42">
      <c r="B127" s="255"/>
      <c r="R127" s="255"/>
      <c r="S127" s="483" t="s">
        <v>507</v>
      </c>
      <c r="V127" s="299"/>
      <c r="AD127" s="271" t="s">
        <v>399</v>
      </c>
      <c r="AE127" s="231" t="s">
        <v>1</v>
      </c>
      <c r="AF127" s="450">
        <v>0.3</v>
      </c>
      <c r="AG127" s="257"/>
      <c r="AI127" s="249" t="s">
        <v>277</v>
      </c>
    </row>
    <row r="128" spans="2:42">
      <c r="B128" s="255"/>
      <c r="R128" s="255"/>
      <c r="AD128" s="271" t="s">
        <v>400</v>
      </c>
      <c r="AE128" s="231" t="s">
        <v>1</v>
      </c>
      <c r="AF128" s="623">
        <v>148.31</v>
      </c>
      <c r="AG128" s="257" t="s">
        <v>110</v>
      </c>
      <c r="AI128" s="249" t="s">
        <v>278</v>
      </c>
    </row>
    <row r="129" spans="2:39" ht="14.25">
      <c r="B129" s="255"/>
      <c r="R129" s="255"/>
      <c r="V129" s="274" t="s">
        <v>263</v>
      </c>
      <c r="W129" s="274"/>
      <c r="X129" s="274" t="s">
        <v>236</v>
      </c>
      <c r="Y129" s="274"/>
      <c r="AD129" s="3" t="s">
        <v>402</v>
      </c>
      <c r="AE129" s="231" t="s">
        <v>1</v>
      </c>
      <c r="AF129" s="381">
        <f>AF126*AF127*AF128</f>
        <v>0</v>
      </c>
      <c r="AG129" s="257"/>
      <c r="AM129" s="250" t="str">
        <f>" ["&amp;AD129&amp;"] = [mq]"&amp;AF126&amp;" x "&amp;AF127&amp;" x [€/mq] "&amp;AF128&amp;" "&amp;AE129&amp;" "&amp;AF129&amp;""&amp; " €"</f>
        <v xml:space="preserve"> [MPP2] = [mq] x 0,3 x [€/mq] 148,31 = 0 €</v>
      </c>
    </row>
    <row r="130" spans="2:39">
      <c r="B130" s="255"/>
      <c r="R130" s="255"/>
      <c r="V130" s="1" t="s">
        <v>3</v>
      </c>
      <c r="W130" s="1"/>
      <c r="X130" s="1" t="s">
        <v>4</v>
      </c>
      <c r="Y130" s="1"/>
      <c r="AA130" s="1"/>
      <c r="AB130" s="216"/>
      <c r="AD130" s="271"/>
      <c r="AF130" s="1"/>
      <c r="AG130" s="257"/>
      <c r="AI130" s="249" t="s">
        <v>128</v>
      </c>
    </row>
    <row r="131" spans="2:39">
      <c r="B131" s="255"/>
      <c r="R131" s="255"/>
      <c r="T131" s="256" t="s">
        <v>586</v>
      </c>
      <c r="U131" s="231" t="s">
        <v>1</v>
      </c>
      <c r="V131" s="468">
        <f>AJ126</f>
        <v>0</v>
      </c>
      <c r="W131" s="231" t="s">
        <v>2</v>
      </c>
      <c r="X131" s="215">
        <v>200</v>
      </c>
      <c r="AA131" s="231" t="s">
        <v>1</v>
      </c>
      <c r="AB131" s="298">
        <f>V131*X131</f>
        <v>0</v>
      </c>
      <c r="AD131" s="3" t="s">
        <v>403</v>
      </c>
      <c r="AE131" s="231" t="s">
        <v>1</v>
      </c>
      <c r="AF131" s="382">
        <f>AF124+AF129</f>
        <v>0</v>
      </c>
      <c r="AG131" s="257"/>
      <c r="AI131" s="249" t="s">
        <v>125</v>
      </c>
      <c r="AM131" s="250" t="str">
        <f>" ["&amp;T131&amp;"] = [mq] "&amp;V131&amp;" x "&amp;" [€/mq] "&amp;X131&amp;" "&amp;AA131&amp;" "&amp;AB131&amp;""&amp; " €"</f>
        <v xml:space="preserve"> [MSP1] = [mq] 0 x  [€/mq] 200 = 0 €</v>
      </c>
    </row>
    <row r="132" spans="2:39">
      <c r="B132" s="255"/>
      <c r="R132" s="255"/>
      <c r="AD132" s="271"/>
      <c r="AG132" s="257"/>
    </row>
    <row r="133" spans="2:39">
      <c r="B133" s="255"/>
      <c r="R133" s="255"/>
      <c r="AD133" s="379"/>
      <c r="AF133" s="256"/>
      <c r="AG133" s="257"/>
    </row>
    <row r="134" spans="2:39" ht="15">
      <c r="B134" s="255"/>
      <c r="R134" s="810" t="s">
        <v>404</v>
      </c>
      <c r="S134" s="811"/>
      <c r="T134" s="811"/>
      <c r="U134" s="811"/>
      <c r="V134" s="811"/>
      <c r="W134" s="811"/>
      <c r="X134" s="811"/>
      <c r="Y134" s="811"/>
      <c r="Z134" s="811"/>
      <c r="AA134" s="811"/>
      <c r="AB134" s="811"/>
      <c r="AC134" s="812"/>
      <c r="AD134" s="216"/>
      <c r="AF134" s="256"/>
      <c r="AG134" s="257"/>
    </row>
    <row r="135" spans="2:39" ht="15">
      <c r="B135" s="255"/>
      <c r="R135" s="813" t="s">
        <v>477</v>
      </c>
      <c r="S135" s="814"/>
      <c r="T135" s="814"/>
      <c r="U135" s="814"/>
      <c r="V135" s="814"/>
      <c r="W135" s="814"/>
      <c r="X135" s="814"/>
      <c r="Y135" s="814"/>
      <c r="Z135" s="814"/>
      <c r="AA135" s="814"/>
      <c r="AB135" s="814"/>
      <c r="AC135" s="815"/>
      <c r="AF135" s="216"/>
      <c r="AG135" s="257"/>
    </row>
    <row r="136" spans="2:39">
      <c r="B136" s="255"/>
      <c r="R136" s="255"/>
      <c r="AC136" s="272"/>
      <c r="AG136" s="257"/>
    </row>
    <row r="137" spans="2:39" ht="14.25">
      <c r="B137" s="255"/>
      <c r="R137" s="255"/>
      <c r="V137" s="274" t="s">
        <v>274</v>
      </c>
      <c r="W137" s="274"/>
      <c r="X137" s="274" t="s">
        <v>7</v>
      </c>
      <c r="Y137" s="274"/>
      <c r="Z137" s="274" t="s">
        <v>235</v>
      </c>
      <c r="AC137" s="272"/>
      <c r="AG137" s="257"/>
    </row>
    <row r="138" spans="2:39">
      <c r="B138" s="255"/>
      <c r="R138" s="255"/>
      <c r="V138" s="1"/>
      <c r="W138" s="1"/>
      <c r="X138" s="1" t="s">
        <v>3</v>
      </c>
      <c r="Y138" s="1"/>
      <c r="Z138" s="1"/>
      <c r="AB138" s="1" t="s">
        <v>3</v>
      </c>
      <c r="AC138" s="272"/>
      <c r="AG138" s="257"/>
    </row>
    <row r="139" spans="2:39">
      <c r="B139" s="255"/>
      <c r="R139" s="255"/>
      <c r="T139" s="300" t="s">
        <v>281</v>
      </c>
      <c r="U139" s="231" t="s">
        <v>1</v>
      </c>
      <c r="V139" s="247" t="s">
        <v>275</v>
      </c>
      <c r="X139" s="215"/>
      <c r="Y139" s="231" t="s">
        <v>2</v>
      </c>
      <c r="Z139" s="215"/>
      <c r="AA139" s="231" t="s">
        <v>1</v>
      </c>
      <c r="AB139" s="301">
        <f>X139*Z139</f>
        <v>0</v>
      </c>
      <c r="AC139" s="272"/>
      <c r="AG139" s="257"/>
    </row>
    <row r="140" spans="2:39">
      <c r="B140" s="255"/>
      <c r="R140" s="255"/>
      <c r="V140" s="274"/>
      <c r="W140" s="274"/>
      <c r="X140" s="274"/>
      <c r="Y140" s="274"/>
      <c r="Z140" s="274"/>
      <c r="AC140" s="272"/>
      <c r="AE140" s="251"/>
      <c r="AG140" s="257"/>
    </row>
    <row r="141" spans="2:39">
      <c r="B141" s="255"/>
      <c r="R141" s="255"/>
      <c r="T141" s="300" t="s">
        <v>282</v>
      </c>
      <c r="U141" s="231" t="s">
        <v>1</v>
      </c>
      <c r="V141" s="247" t="s">
        <v>451</v>
      </c>
      <c r="X141" s="215"/>
      <c r="Y141" s="231" t="s">
        <v>2</v>
      </c>
      <c r="Z141" s="215"/>
      <c r="AA141" s="231" t="s">
        <v>1</v>
      </c>
      <c r="AB141" s="301">
        <f>X141*Z141</f>
        <v>0</v>
      </c>
      <c r="AC141" s="272"/>
      <c r="AG141" s="257"/>
    </row>
    <row r="142" spans="2:39">
      <c r="B142" s="255"/>
      <c r="R142" s="255"/>
      <c r="AC142" s="272"/>
      <c r="AG142" s="257"/>
    </row>
    <row r="143" spans="2:39">
      <c r="B143" s="255"/>
      <c r="R143" s="255"/>
      <c r="Z143" s="300" t="s">
        <v>286</v>
      </c>
      <c r="AA143" s="231" t="s">
        <v>1</v>
      </c>
      <c r="AB143" s="303">
        <f>IF(AI143&gt;0,AI143,0)</f>
        <v>0</v>
      </c>
      <c r="AC143" s="272"/>
      <c r="AD143" s="299"/>
      <c r="AG143" s="257"/>
      <c r="AI143" s="512">
        <f>AB141-AB139</f>
        <v>0</v>
      </c>
    </row>
    <row r="144" spans="2:39">
      <c r="B144" s="255"/>
      <c r="R144" s="255"/>
      <c r="S144" s="483" t="s">
        <v>507</v>
      </c>
      <c r="AC144" s="272"/>
      <c r="AG144" s="257"/>
      <c r="AI144" s="510">
        <f>ROUND(AI143,2)</f>
        <v>0</v>
      </c>
    </row>
    <row r="145" spans="2:39">
      <c r="B145" s="255"/>
      <c r="R145" s="255"/>
      <c r="V145" s="299"/>
      <c r="AC145" s="272"/>
      <c r="AG145" s="257"/>
    </row>
    <row r="146" spans="2:39" ht="14.25">
      <c r="B146" s="255"/>
      <c r="R146" s="255"/>
      <c r="V146" s="274" t="s">
        <v>263</v>
      </c>
      <c r="W146" s="274"/>
      <c r="X146" s="274" t="s">
        <v>236</v>
      </c>
      <c r="Y146" s="274"/>
      <c r="AC146" s="272"/>
      <c r="AG146" s="257"/>
    </row>
    <row r="147" spans="2:39">
      <c r="B147" s="255"/>
      <c r="R147" s="255"/>
      <c r="V147" s="1" t="s">
        <v>3</v>
      </c>
      <c r="W147" s="1"/>
      <c r="X147" s="1" t="s">
        <v>4</v>
      </c>
      <c r="Y147" s="1"/>
      <c r="AA147" s="1"/>
      <c r="AB147" s="216"/>
      <c r="AC147" s="272"/>
      <c r="AG147" s="257"/>
    </row>
    <row r="148" spans="2:39">
      <c r="B148" s="255"/>
      <c r="R148" s="255"/>
      <c r="T148" s="256" t="s">
        <v>587</v>
      </c>
      <c r="U148" s="231" t="s">
        <v>1</v>
      </c>
      <c r="V148" s="468">
        <f>AI144</f>
        <v>0</v>
      </c>
      <c r="W148" s="231" t="s">
        <v>2</v>
      </c>
      <c r="X148" s="215">
        <v>200</v>
      </c>
      <c r="AA148" s="231" t="s">
        <v>1</v>
      </c>
      <c r="AB148" s="298">
        <f>V148*X148</f>
        <v>0</v>
      </c>
      <c r="AC148" s="272"/>
      <c r="AG148" s="257"/>
      <c r="AM148" s="250" t="str">
        <f>" ["&amp;T148&amp;"] = [mq] "&amp;V148&amp;" x "&amp;" [€/mq] "&amp;X148&amp;" "&amp;AA148&amp;" "&amp;AB148&amp; " €"</f>
        <v xml:space="preserve"> [MSP2] = [mq] 0 x  [€/mq] 200 = 0 €</v>
      </c>
    </row>
    <row r="149" spans="2:39">
      <c r="B149" s="255"/>
      <c r="R149" s="255"/>
      <c r="AC149" s="272"/>
      <c r="AG149" s="257"/>
    </row>
    <row r="150" spans="2:39" ht="13.5" thickBot="1">
      <c r="B150" s="283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3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471"/>
      <c r="AD150" s="284"/>
      <c r="AE150" s="284"/>
      <c r="AF150" s="284"/>
      <c r="AG150" s="285"/>
      <c r="AI150" s="249" t="s">
        <v>5</v>
      </c>
    </row>
    <row r="151" spans="2:39">
      <c r="B151" s="718" t="s">
        <v>680</v>
      </c>
      <c r="C151" s="719"/>
      <c r="D151" s="719"/>
      <c r="E151" s="719"/>
      <c r="F151" s="719"/>
      <c r="G151" s="719"/>
      <c r="H151" s="719"/>
      <c r="I151" s="719"/>
      <c r="J151" s="719"/>
      <c r="K151" s="719"/>
      <c r="L151" s="719"/>
      <c r="M151" s="719"/>
      <c r="N151" s="719"/>
      <c r="O151" s="719"/>
      <c r="P151" s="719"/>
      <c r="Q151" s="720"/>
      <c r="R151" s="718" t="s">
        <v>680</v>
      </c>
      <c r="S151" s="719"/>
      <c r="T151" s="719"/>
      <c r="U151" s="719"/>
      <c r="V151" s="719"/>
      <c r="W151" s="719"/>
      <c r="X151" s="719"/>
      <c r="Y151" s="719"/>
      <c r="Z151" s="719"/>
      <c r="AA151" s="719"/>
      <c r="AB151" s="719"/>
      <c r="AC151" s="719"/>
      <c r="AD151" s="719"/>
      <c r="AE151" s="719"/>
      <c r="AF151" s="720"/>
      <c r="AG151" s="746" t="s">
        <v>500</v>
      </c>
    </row>
    <row r="152" spans="2:39">
      <c r="B152" s="721"/>
      <c r="C152" s="722"/>
      <c r="D152" s="722"/>
      <c r="E152" s="722"/>
      <c r="F152" s="722"/>
      <c r="G152" s="722"/>
      <c r="H152" s="722"/>
      <c r="I152" s="722"/>
      <c r="J152" s="722"/>
      <c r="K152" s="722"/>
      <c r="L152" s="722"/>
      <c r="M152" s="722"/>
      <c r="N152" s="722"/>
      <c r="O152" s="722"/>
      <c r="P152" s="722"/>
      <c r="Q152" s="723"/>
      <c r="R152" s="721"/>
      <c r="S152" s="722"/>
      <c r="T152" s="722"/>
      <c r="U152" s="722"/>
      <c r="V152" s="722"/>
      <c r="W152" s="722"/>
      <c r="X152" s="722"/>
      <c r="Y152" s="722"/>
      <c r="Z152" s="722"/>
      <c r="AA152" s="722"/>
      <c r="AB152" s="722"/>
      <c r="AC152" s="722"/>
      <c r="AD152" s="722"/>
      <c r="AE152" s="722"/>
      <c r="AF152" s="723"/>
      <c r="AG152" s="747"/>
    </row>
    <row r="153" spans="2:39">
      <c r="B153" s="743" t="s">
        <v>487</v>
      </c>
      <c r="C153" s="744"/>
      <c r="D153" s="744"/>
      <c r="E153" s="744"/>
      <c r="F153" s="744"/>
      <c r="G153" s="744"/>
      <c r="H153" s="744"/>
      <c r="I153" s="744"/>
      <c r="J153" s="744"/>
      <c r="K153" s="744"/>
      <c r="L153" s="744"/>
      <c r="M153" s="744"/>
      <c r="N153" s="744"/>
      <c r="O153" s="744"/>
      <c r="P153" s="744"/>
      <c r="Q153" s="745"/>
      <c r="R153" s="752" t="s">
        <v>487</v>
      </c>
      <c r="S153" s="753"/>
      <c r="T153" s="753"/>
      <c r="U153" s="753"/>
      <c r="V153" s="753"/>
      <c r="W153" s="753"/>
      <c r="X153" s="753"/>
      <c r="Y153" s="753"/>
      <c r="Z153" s="753"/>
      <c r="AA153" s="753"/>
      <c r="AB153" s="753"/>
      <c r="AC153" s="753"/>
      <c r="AD153" s="753"/>
      <c r="AE153" s="753"/>
      <c r="AF153" s="754"/>
      <c r="AG153" s="747"/>
    </row>
    <row r="154" spans="2:39" ht="13.5" thickBot="1">
      <c r="B154" s="743"/>
      <c r="C154" s="744"/>
      <c r="D154" s="744"/>
      <c r="E154" s="744"/>
      <c r="F154" s="744"/>
      <c r="G154" s="744"/>
      <c r="H154" s="744"/>
      <c r="I154" s="744"/>
      <c r="J154" s="744"/>
      <c r="K154" s="744"/>
      <c r="L154" s="744"/>
      <c r="M154" s="744"/>
      <c r="N154" s="744"/>
      <c r="O154" s="744"/>
      <c r="P154" s="744"/>
      <c r="Q154" s="745"/>
      <c r="R154" s="755"/>
      <c r="S154" s="756"/>
      <c r="T154" s="756"/>
      <c r="U154" s="756"/>
      <c r="V154" s="756"/>
      <c r="W154" s="756"/>
      <c r="X154" s="756"/>
      <c r="Y154" s="756"/>
      <c r="Z154" s="756"/>
      <c r="AA154" s="756"/>
      <c r="AB154" s="756"/>
      <c r="AC154" s="756"/>
      <c r="AD154" s="756"/>
      <c r="AE154" s="756"/>
      <c r="AF154" s="757"/>
      <c r="AG154" s="748"/>
    </row>
    <row r="155" spans="2:39">
      <c r="B155" s="252"/>
      <c r="C155" s="253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3"/>
      <c r="Q155" s="254"/>
      <c r="R155" s="252"/>
      <c r="S155" s="253"/>
      <c r="T155" s="253"/>
      <c r="U155" s="253"/>
      <c r="V155" s="253"/>
      <c r="W155" s="253"/>
      <c r="X155" s="253"/>
      <c r="Y155" s="253"/>
      <c r="Z155" s="253"/>
      <c r="AA155" s="253"/>
      <c r="AB155" s="253"/>
      <c r="AC155" s="253"/>
      <c r="AD155" s="253"/>
      <c r="AE155" s="253"/>
      <c r="AF155" s="292"/>
      <c r="AG155" s="254"/>
    </row>
    <row r="156" spans="2:39">
      <c r="B156" s="255"/>
      <c r="F156" s="1"/>
      <c r="G156" s="1"/>
      <c r="H156" s="1" t="s">
        <v>3</v>
      </c>
      <c r="I156" s="1"/>
      <c r="L156" s="216"/>
      <c r="N156" s="216"/>
      <c r="P156" s="267"/>
      <c r="Q156" s="257"/>
      <c r="R156" s="255"/>
      <c r="W156" s="274"/>
      <c r="Y156" s="274"/>
      <c r="Z156" s="274"/>
      <c r="AA156" s="256"/>
      <c r="AB156" s="256"/>
      <c r="AC156" s="256"/>
      <c r="AD156" s="290" t="s">
        <v>514</v>
      </c>
      <c r="AF156" s="296"/>
      <c r="AG156" s="257"/>
    </row>
    <row r="157" spans="2:39" ht="15">
      <c r="B157" s="255"/>
      <c r="F157" s="256" t="s">
        <v>263</v>
      </c>
      <c r="G157" s="231" t="s">
        <v>1</v>
      </c>
      <c r="H157" s="256" t="s">
        <v>244</v>
      </c>
      <c r="I157" s="231" t="s">
        <v>2</v>
      </c>
      <c r="J157" s="256" t="s">
        <v>250</v>
      </c>
      <c r="L157" s="298" t="s">
        <v>264</v>
      </c>
      <c r="N157" s="299" t="s">
        <v>352</v>
      </c>
      <c r="Q157" s="257"/>
      <c r="R157" s="255"/>
      <c r="V157" s="274" t="s">
        <v>479</v>
      </c>
      <c r="W157" s="274"/>
      <c r="X157" s="274" t="s">
        <v>480</v>
      </c>
      <c r="Y157" s="274"/>
      <c r="Z157" s="274" t="s">
        <v>513</v>
      </c>
      <c r="AB157" s="274"/>
      <c r="AD157" s="290"/>
      <c r="AF157" s="274"/>
      <c r="AG157" s="257"/>
    </row>
    <row r="158" spans="2:39">
      <c r="B158" s="255"/>
      <c r="F158" s="274"/>
      <c r="G158" s="274"/>
      <c r="H158" s="274"/>
      <c r="I158" s="274"/>
      <c r="J158" s="274"/>
      <c r="K158" s="274"/>
      <c r="L158" s="274"/>
      <c r="M158" s="274"/>
      <c r="N158" s="274"/>
      <c r="O158" s="251"/>
      <c r="P158" s="251"/>
      <c r="Q158" s="257"/>
      <c r="R158" s="255"/>
      <c r="V158" s="1"/>
      <c r="W158" s="1"/>
      <c r="X158" s="1" t="s">
        <v>3</v>
      </c>
      <c r="Y158" s="1"/>
      <c r="Z158" s="1"/>
      <c r="AB158" s="1" t="s">
        <v>3</v>
      </c>
      <c r="AD158" s="468"/>
      <c r="AE158" s="256"/>
      <c r="AF158" s="1"/>
      <c r="AG158" s="257"/>
    </row>
    <row r="159" spans="2:39">
      <c r="B159" s="25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57"/>
      <c r="R159" s="255"/>
      <c r="T159" s="300" t="s">
        <v>263</v>
      </c>
      <c r="U159" s="231" t="s">
        <v>1</v>
      </c>
      <c r="V159" s="247" t="s">
        <v>451</v>
      </c>
      <c r="X159" s="215"/>
      <c r="Y159" s="231" t="s">
        <v>2</v>
      </c>
      <c r="Z159" s="473">
        <v>0.48</v>
      </c>
      <c r="AA159" s="231" t="s">
        <v>1</v>
      </c>
      <c r="AB159" s="301">
        <f>X159*Z159</f>
        <v>0</v>
      </c>
      <c r="AD159" s="299" t="s">
        <v>481</v>
      </c>
      <c r="AG159" s="257"/>
    </row>
    <row r="160" spans="2:39">
      <c r="B160" s="255"/>
      <c r="F160" s="1"/>
      <c r="G160" s="1"/>
      <c r="H160" s="1" t="s">
        <v>3</v>
      </c>
      <c r="I160" s="1"/>
      <c r="J160" s="1" t="s">
        <v>4</v>
      </c>
      <c r="K160" s="1"/>
      <c r="L160" s="1"/>
      <c r="N160" s="216"/>
      <c r="P160" s="267"/>
      <c r="Q160" s="257"/>
      <c r="R160" s="255"/>
      <c r="V160" s="256"/>
      <c r="W160" s="256"/>
      <c r="X160" s="256"/>
      <c r="Y160" s="256"/>
      <c r="Z160" s="474"/>
      <c r="AA160" s="256"/>
      <c r="AB160" s="256"/>
      <c r="AC160" s="256"/>
      <c r="AD160" s="299"/>
      <c r="AG160" s="257"/>
    </row>
    <row r="161" spans="2:39" ht="15">
      <c r="B161" s="255"/>
      <c r="F161" s="256" t="s">
        <v>20</v>
      </c>
      <c r="G161" s="231" t="s">
        <v>1</v>
      </c>
      <c r="H161" s="256" t="s">
        <v>263</v>
      </c>
      <c r="I161" s="231" t="s">
        <v>2</v>
      </c>
      <c r="J161" s="256" t="s">
        <v>251</v>
      </c>
      <c r="L161" s="256" t="s">
        <v>265</v>
      </c>
      <c r="N161" s="299" t="s">
        <v>266</v>
      </c>
      <c r="Q161" s="257"/>
      <c r="R161" s="255"/>
      <c r="T161" s="300" t="s">
        <v>263</v>
      </c>
      <c r="U161" s="231" t="s">
        <v>1</v>
      </c>
      <c r="V161" s="247" t="s">
        <v>451</v>
      </c>
      <c r="X161" s="215"/>
      <c r="Y161" s="231" t="s">
        <v>2</v>
      </c>
      <c r="Z161" s="473">
        <v>0.18</v>
      </c>
      <c r="AA161" s="231" t="s">
        <v>1</v>
      </c>
      <c r="AB161" s="301">
        <f>X161*Z161</f>
        <v>0</v>
      </c>
      <c r="AD161" s="299" t="s">
        <v>482</v>
      </c>
      <c r="AG161" s="257"/>
    </row>
    <row r="162" spans="2:39">
      <c r="B162" s="255"/>
      <c r="Q162" s="257"/>
      <c r="R162" s="255"/>
      <c r="T162" s="300"/>
      <c r="X162" s="216"/>
      <c r="Z162" s="475"/>
      <c r="AB162" s="301"/>
      <c r="AD162" s="299"/>
      <c r="AG162" s="257"/>
    </row>
    <row r="163" spans="2:39">
      <c r="B163" s="255"/>
      <c r="Q163" s="257"/>
      <c r="R163" s="255"/>
      <c r="T163" s="300" t="s">
        <v>263</v>
      </c>
      <c r="U163" s="231" t="s">
        <v>1</v>
      </c>
      <c r="V163" s="247" t="s">
        <v>451</v>
      </c>
      <c r="X163" s="215"/>
      <c r="Y163" s="231" t="s">
        <v>2</v>
      </c>
      <c r="Z163" s="473">
        <v>8.4000000000000005E-2</v>
      </c>
      <c r="AA163" s="231" t="s">
        <v>1</v>
      </c>
      <c r="AB163" s="301">
        <f>X163*Z163</f>
        <v>0</v>
      </c>
      <c r="AD163" s="299" t="s">
        <v>483</v>
      </c>
      <c r="AG163" s="257"/>
    </row>
    <row r="164" spans="2:39">
      <c r="B164" s="255"/>
      <c r="Q164" s="257"/>
      <c r="R164" s="255"/>
      <c r="V164" s="256"/>
      <c r="W164" s="256"/>
      <c r="X164" s="256"/>
      <c r="Y164" s="256"/>
      <c r="Z164" s="474"/>
      <c r="AA164" s="256"/>
      <c r="AB164" s="256"/>
      <c r="AD164" s="299"/>
      <c r="AG164" s="257"/>
    </row>
    <row r="165" spans="2:39">
      <c r="B165" s="255"/>
      <c r="Q165" s="257"/>
      <c r="R165" s="255"/>
      <c r="T165" s="300" t="s">
        <v>263</v>
      </c>
      <c r="U165" s="231" t="s">
        <v>1</v>
      </c>
      <c r="V165" s="247" t="s">
        <v>451</v>
      </c>
      <c r="X165" s="215"/>
      <c r="Y165" s="231" t="s">
        <v>2</v>
      </c>
      <c r="Z165" s="473">
        <v>3.5999999999999997E-2</v>
      </c>
      <c r="AA165" s="231" t="s">
        <v>1</v>
      </c>
      <c r="AB165" s="301">
        <f>X165*Z165</f>
        <v>0</v>
      </c>
      <c r="AD165" s="299" t="s">
        <v>484</v>
      </c>
      <c r="AG165" s="257"/>
    </row>
    <row r="166" spans="2:39">
      <c r="B166" s="255"/>
      <c r="Q166" s="257"/>
      <c r="R166" s="255"/>
      <c r="T166" s="300"/>
      <c r="X166" s="216"/>
      <c r="Z166" s="216"/>
      <c r="AB166" s="301"/>
      <c r="AG166" s="257"/>
    </row>
    <row r="167" spans="2:39">
      <c r="B167" s="255"/>
      <c r="Q167" s="257"/>
      <c r="R167" s="255"/>
      <c r="Z167" s="300" t="s">
        <v>286</v>
      </c>
      <c r="AA167" s="231" t="s">
        <v>1</v>
      </c>
      <c r="AB167" s="302">
        <f>AB159+AB161+AB163+AB165</f>
        <v>0</v>
      </c>
      <c r="AD167" s="299" t="s">
        <v>485</v>
      </c>
      <c r="AG167" s="257"/>
      <c r="AI167" s="513">
        <f>ROUND(AB167,2)</f>
        <v>0</v>
      </c>
    </row>
    <row r="168" spans="2:39">
      <c r="B168" s="255"/>
      <c r="Q168" s="257"/>
      <c r="R168" s="255"/>
      <c r="AG168" s="257"/>
    </row>
    <row r="169" spans="2:39">
      <c r="B169" s="255"/>
      <c r="Q169" s="257"/>
      <c r="R169" s="255"/>
      <c r="S169" s="483" t="s">
        <v>507</v>
      </c>
      <c r="V169" s="299"/>
      <c r="AB169" s="256"/>
      <c r="AD169" s="311"/>
      <c r="AG169" s="257"/>
    </row>
    <row r="170" spans="2:39">
      <c r="B170" s="255"/>
      <c r="Q170" s="257"/>
      <c r="R170" s="255"/>
      <c r="X170" s="216"/>
      <c r="AG170" s="257"/>
    </row>
    <row r="171" spans="2:39">
      <c r="B171" s="255"/>
      <c r="Q171" s="257"/>
      <c r="R171" s="255"/>
      <c r="V171" s="274" t="s">
        <v>263</v>
      </c>
      <c r="W171" s="274"/>
      <c r="X171" s="274" t="s">
        <v>400</v>
      </c>
      <c r="Y171" s="274"/>
      <c r="AF171" s="274"/>
      <c r="AG171" s="257"/>
    </row>
    <row r="172" spans="2:39">
      <c r="B172" s="255"/>
      <c r="Q172" s="257"/>
      <c r="R172" s="255"/>
      <c r="V172" s="1" t="s">
        <v>3</v>
      </c>
      <c r="W172" s="1"/>
      <c r="X172" s="1" t="s">
        <v>4</v>
      </c>
      <c r="Y172" s="1"/>
      <c r="AA172" s="1"/>
      <c r="AB172" s="216"/>
      <c r="AF172" s="1"/>
      <c r="AG172" s="257"/>
    </row>
    <row r="173" spans="2:39">
      <c r="B173" s="255"/>
      <c r="Q173" s="257"/>
      <c r="R173" s="255"/>
      <c r="T173" s="256" t="s">
        <v>486</v>
      </c>
      <c r="U173" s="231" t="s">
        <v>1</v>
      </c>
      <c r="V173" s="468">
        <f>AI167</f>
        <v>0</v>
      </c>
      <c r="W173" s="231" t="s">
        <v>2</v>
      </c>
      <c r="X173" s="215">
        <v>200</v>
      </c>
      <c r="AA173" s="231" t="s">
        <v>1</v>
      </c>
      <c r="AB173" s="298">
        <f>V173*X173</f>
        <v>0</v>
      </c>
      <c r="AF173" s="216"/>
      <c r="AG173" s="257"/>
      <c r="AM173" s="250" t="str">
        <f>" ["&amp;T173&amp;"] = [mq] "&amp;V173&amp;" x "&amp;" [€/mq] "&amp;X173&amp;" "&amp;AA173&amp;" "&amp;AB173&amp; " €"</f>
        <v xml:space="preserve"> [MVS] = [mq] 0 x  [€/mq] 200 = 0 €</v>
      </c>
    </row>
    <row r="174" spans="2:39" ht="13.5" thickBot="1">
      <c r="B174" s="283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5"/>
      <c r="R174" s="283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5"/>
    </row>
    <row r="175" spans="2:39" ht="12.75" customHeight="1">
      <c r="B175" s="816" t="s">
        <v>680</v>
      </c>
      <c r="C175" s="817"/>
      <c r="D175" s="817"/>
      <c r="E175" s="817"/>
      <c r="F175" s="817"/>
      <c r="G175" s="817"/>
      <c r="H175" s="817"/>
      <c r="I175" s="817"/>
      <c r="J175" s="817"/>
      <c r="K175" s="817"/>
      <c r="L175" s="817"/>
      <c r="M175" s="817"/>
      <c r="N175" s="817"/>
      <c r="O175" s="817"/>
      <c r="P175" s="817"/>
      <c r="Q175" s="818"/>
      <c r="R175" s="816" t="s">
        <v>680</v>
      </c>
      <c r="S175" s="817"/>
      <c r="T175" s="817"/>
      <c r="U175" s="817"/>
      <c r="V175" s="817"/>
      <c r="W175" s="817"/>
      <c r="X175" s="817"/>
      <c r="Y175" s="817"/>
      <c r="Z175" s="817"/>
      <c r="AA175" s="817"/>
      <c r="AB175" s="817"/>
      <c r="AC175" s="817"/>
      <c r="AD175" s="817"/>
      <c r="AE175" s="817"/>
      <c r="AF175" s="818"/>
      <c r="AG175" s="735" t="s">
        <v>489</v>
      </c>
      <c r="AI175" s="249" t="s">
        <v>287</v>
      </c>
      <c r="AJ175" s="317"/>
    </row>
    <row r="176" spans="2:39" ht="12.75" customHeight="1">
      <c r="B176" s="819"/>
      <c r="C176" s="820"/>
      <c r="D176" s="820"/>
      <c r="E176" s="820"/>
      <c r="F176" s="820"/>
      <c r="G176" s="820"/>
      <c r="H176" s="820"/>
      <c r="I176" s="820"/>
      <c r="J176" s="820"/>
      <c r="K176" s="820"/>
      <c r="L176" s="820"/>
      <c r="M176" s="820"/>
      <c r="N176" s="820"/>
      <c r="O176" s="820"/>
      <c r="P176" s="820"/>
      <c r="Q176" s="821"/>
      <c r="R176" s="819"/>
      <c r="S176" s="820"/>
      <c r="T176" s="820"/>
      <c r="U176" s="820"/>
      <c r="V176" s="820"/>
      <c r="W176" s="820"/>
      <c r="X176" s="820"/>
      <c r="Y176" s="820"/>
      <c r="Z176" s="820"/>
      <c r="AA176" s="820"/>
      <c r="AB176" s="820"/>
      <c r="AC176" s="820"/>
      <c r="AD176" s="820"/>
      <c r="AE176" s="820"/>
      <c r="AF176" s="821"/>
      <c r="AG176" s="736"/>
      <c r="AI176" s="249" t="s">
        <v>289</v>
      </c>
      <c r="AJ176" s="317" t="s">
        <v>313</v>
      </c>
      <c r="AK176" s="249">
        <v>1000</v>
      </c>
    </row>
    <row r="177" spans="2:42" ht="12.75" customHeight="1">
      <c r="B177" s="698" t="s">
        <v>334</v>
      </c>
      <c r="C177" s="699"/>
      <c r="D177" s="699"/>
      <c r="E177" s="699"/>
      <c r="F177" s="699"/>
      <c r="G177" s="699"/>
      <c r="H177" s="699"/>
      <c r="I177" s="699"/>
      <c r="J177" s="699"/>
      <c r="K177" s="699"/>
      <c r="L177" s="699"/>
      <c r="M177" s="699"/>
      <c r="N177" s="699"/>
      <c r="O177" s="699"/>
      <c r="P177" s="699"/>
      <c r="Q177" s="700"/>
      <c r="R177" s="698" t="s">
        <v>334</v>
      </c>
      <c r="S177" s="738"/>
      <c r="T177" s="738"/>
      <c r="U177" s="738"/>
      <c r="V177" s="738"/>
      <c r="W177" s="738"/>
      <c r="X177" s="738"/>
      <c r="Y177" s="738"/>
      <c r="Z177" s="738"/>
      <c r="AA177" s="738"/>
      <c r="AB177" s="738"/>
      <c r="AC177" s="738"/>
      <c r="AD177" s="738"/>
      <c r="AE177" s="738"/>
      <c r="AF177" s="739"/>
      <c r="AG177" s="736"/>
      <c r="AI177" s="249" t="s">
        <v>293</v>
      </c>
      <c r="AJ177" s="317" t="s">
        <v>314</v>
      </c>
      <c r="AK177" s="249">
        <v>1500</v>
      </c>
    </row>
    <row r="178" spans="2:42" ht="13.5" customHeight="1" thickBot="1">
      <c r="B178" s="698"/>
      <c r="C178" s="699"/>
      <c r="D178" s="699"/>
      <c r="E178" s="699"/>
      <c r="F178" s="699"/>
      <c r="G178" s="699"/>
      <c r="H178" s="699"/>
      <c r="I178" s="699"/>
      <c r="J178" s="699"/>
      <c r="K178" s="699"/>
      <c r="L178" s="699"/>
      <c r="M178" s="699"/>
      <c r="N178" s="699"/>
      <c r="O178" s="699"/>
      <c r="P178" s="699"/>
      <c r="Q178" s="700"/>
      <c r="R178" s="740"/>
      <c r="S178" s="741"/>
      <c r="T178" s="741"/>
      <c r="U178" s="741"/>
      <c r="V178" s="741"/>
      <c r="W178" s="741"/>
      <c r="X178" s="741"/>
      <c r="Y178" s="741"/>
      <c r="Z178" s="741"/>
      <c r="AA178" s="741"/>
      <c r="AB178" s="741"/>
      <c r="AC178" s="741"/>
      <c r="AD178" s="741"/>
      <c r="AE178" s="741"/>
      <c r="AF178" s="742"/>
      <c r="AG178" s="737"/>
      <c r="AI178" s="249" t="s">
        <v>128</v>
      </c>
      <c r="AJ178" s="294" t="s">
        <v>315</v>
      </c>
      <c r="AK178" s="249">
        <v>2000</v>
      </c>
    </row>
    <row r="179" spans="2:42">
      <c r="B179" s="252"/>
      <c r="C179" s="253"/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304"/>
      <c r="Q179" s="293"/>
      <c r="R179" s="252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92"/>
      <c r="AG179" s="293"/>
      <c r="AI179" s="249" t="s">
        <v>125</v>
      </c>
      <c r="AJ179" s="294" t="s">
        <v>316</v>
      </c>
      <c r="AK179" s="249">
        <v>2500</v>
      </c>
    </row>
    <row r="180" spans="2:42" ht="15.75">
      <c r="B180" s="255"/>
      <c r="D180" s="248" t="s">
        <v>298</v>
      </c>
      <c r="G180" s="248" t="s">
        <v>299</v>
      </c>
      <c r="I180" s="256"/>
      <c r="K180" s="248" t="s">
        <v>300</v>
      </c>
      <c r="P180" s="305"/>
      <c r="Q180" s="297"/>
      <c r="R180" s="255"/>
      <c r="S180" s="290"/>
      <c r="X180" s="290"/>
      <c r="AA180" s="383" t="s">
        <v>302</v>
      </c>
      <c r="AB180" s="384"/>
      <c r="AC180" s="384"/>
      <c r="AD180" s="384"/>
      <c r="AF180" s="290"/>
      <c r="AG180" s="297"/>
      <c r="AJ180" s="294" t="s">
        <v>317</v>
      </c>
      <c r="AK180" s="249">
        <v>3000</v>
      </c>
      <c r="AM180" s="602"/>
    </row>
    <row r="181" spans="2:42" ht="15">
      <c r="B181" s="255"/>
      <c r="D181" s="290" t="s">
        <v>295</v>
      </c>
      <c r="G181" s="312" t="s">
        <v>561</v>
      </c>
      <c r="J181" s="290"/>
      <c r="K181" s="311" t="s">
        <v>290</v>
      </c>
      <c r="M181" s="216"/>
      <c r="O181" s="267"/>
      <c r="Q181" s="257"/>
      <c r="R181" s="255"/>
      <c r="S181" s="289"/>
      <c r="T181" s="300" t="s">
        <v>0</v>
      </c>
      <c r="U181" s="256" t="s">
        <v>1</v>
      </c>
      <c r="V181" s="267">
        <f>AF9+AF19+AF29</f>
        <v>0</v>
      </c>
      <c r="W181" s="256"/>
      <c r="X181" s="290" t="s">
        <v>405</v>
      </c>
      <c r="Y181" s="256"/>
      <c r="Z181" s="256"/>
      <c r="AG181" s="257"/>
      <c r="AJ181" s="294" t="s">
        <v>318</v>
      </c>
      <c r="AK181" s="249">
        <v>3500</v>
      </c>
      <c r="AM181" s="602"/>
    </row>
    <row r="182" spans="2:42" ht="15.75">
      <c r="B182" s="255"/>
      <c r="C182" s="307" t="s">
        <v>280</v>
      </c>
      <c r="D182" s="289" t="s">
        <v>453</v>
      </c>
      <c r="Q182" s="257"/>
      <c r="R182" s="255"/>
      <c r="S182" s="289"/>
      <c r="T182" s="300" t="s">
        <v>6</v>
      </c>
      <c r="U182" s="256" t="s">
        <v>1</v>
      </c>
      <c r="V182" s="267">
        <f>AF13+AF23+AF33</f>
        <v>0</v>
      </c>
      <c r="W182" s="256"/>
      <c r="X182" s="290" t="s">
        <v>406</v>
      </c>
      <c r="Y182" s="256"/>
      <c r="Z182" s="256"/>
      <c r="AA182" s="687" t="s">
        <v>287</v>
      </c>
      <c r="AB182" s="688"/>
      <c r="AC182" s="290"/>
      <c r="AD182" s="340" t="s">
        <v>603</v>
      </c>
      <c r="AG182" s="257"/>
      <c r="AJ182" s="294" t="s">
        <v>319</v>
      </c>
      <c r="AK182" s="249">
        <v>4000</v>
      </c>
      <c r="AM182" s="602"/>
    </row>
    <row r="183" spans="2:42" ht="15">
      <c r="B183" s="255"/>
      <c r="C183" s="307" t="s">
        <v>280</v>
      </c>
      <c r="D183" s="289" t="s">
        <v>288</v>
      </c>
      <c r="E183" s="256"/>
      <c r="F183" s="256"/>
      <c r="I183" s="256"/>
      <c r="J183" s="290"/>
      <c r="K183" s="256"/>
      <c r="N183" s="216"/>
      <c r="Q183" s="257"/>
      <c r="R183" s="255"/>
      <c r="S183" s="289"/>
      <c r="T183" s="300" t="s">
        <v>11</v>
      </c>
      <c r="U183" s="256" t="s">
        <v>1</v>
      </c>
      <c r="V183" s="267">
        <f>AF46+AF56+AF66</f>
        <v>0</v>
      </c>
      <c r="W183" s="256"/>
      <c r="X183" s="290" t="s">
        <v>407</v>
      </c>
      <c r="Y183" s="256"/>
      <c r="Z183" s="256"/>
      <c r="AG183" s="257"/>
      <c r="AJ183" s="294" t="s">
        <v>320</v>
      </c>
      <c r="AK183" s="249">
        <v>4500</v>
      </c>
      <c r="AM183" s="602"/>
    </row>
    <row r="184" spans="2:42" ht="14.1" customHeight="1">
      <c r="B184" s="255"/>
      <c r="C184" s="307" t="s">
        <v>280</v>
      </c>
      <c r="D184" s="289" t="s">
        <v>292</v>
      </c>
      <c r="J184" s="290"/>
      <c r="N184" s="299"/>
      <c r="P184" s="267"/>
      <c r="Q184" s="257"/>
      <c r="R184" s="255"/>
      <c r="S184" s="289"/>
      <c r="T184" s="300" t="s">
        <v>12</v>
      </c>
      <c r="U184" s="256" t="s">
        <v>1</v>
      </c>
      <c r="V184" s="267">
        <f>AF50+AF60+AF70</f>
        <v>0</v>
      </c>
      <c r="W184" s="256"/>
      <c r="X184" s="290" t="s">
        <v>409</v>
      </c>
      <c r="Y184" s="256"/>
      <c r="Z184" s="256"/>
      <c r="AA184" s="687" t="s">
        <v>128</v>
      </c>
      <c r="AB184" s="688"/>
      <c r="AC184" s="290"/>
      <c r="AD184" s="449" t="s">
        <v>602</v>
      </c>
      <c r="AG184" s="257"/>
      <c r="AJ184" s="294" t="s">
        <v>321</v>
      </c>
      <c r="AK184" s="249">
        <v>5000</v>
      </c>
      <c r="AM184" s="603"/>
    </row>
    <row r="185" spans="2:42">
      <c r="B185" s="255"/>
      <c r="C185" s="517" t="s">
        <v>280</v>
      </c>
      <c r="D185" s="449" t="s">
        <v>670</v>
      </c>
      <c r="Q185" s="257"/>
      <c r="R185" s="255"/>
      <c r="S185" s="289"/>
      <c r="T185" s="300" t="s">
        <v>324</v>
      </c>
      <c r="U185" s="256" t="s">
        <v>1</v>
      </c>
      <c r="V185" s="267">
        <f>X107</f>
        <v>0</v>
      </c>
      <c r="W185" s="256"/>
      <c r="X185" s="290" t="s">
        <v>411</v>
      </c>
      <c r="Y185" s="256"/>
      <c r="Z185" s="256"/>
      <c r="AC185" s="290"/>
      <c r="AG185" s="257"/>
    </row>
    <row r="186" spans="2:42">
      <c r="B186" s="255"/>
      <c r="C186" s="310"/>
      <c r="D186" s="289"/>
      <c r="J186" s="290"/>
      <c r="Q186" s="257"/>
      <c r="R186" s="255"/>
      <c r="S186" s="289"/>
      <c r="T186" s="531" t="s">
        <v>328</v>
      </c>
      <c r="U186" s="280" t="s">
        <v>1</v>
      </c>
      <c r="V186" s="467">
        <f>AF187</f>
        <v>0</v>
      </c>
      <c r="W186" s="280"/>
      <c r="X186" s="411" t="s">
        <v>414</v>
      </c>
      <c r="Y186" s="280"/>
      <c r="Z186" s="280"/>
      <c r="AC186" s="290"/>
      <c r="AD186" s="385" t="s">
        <v>468</v>
      </c>
      <c r="AE186" s="386"/>
      <c r="AF186" s="387" t="s">
        <v>408</v>
      </c>
      <c r="AG186" s="388"/>
    </row>
    <row r="187" spans="2:42" ht="14.1" customHeight="1">
      <c r="B187" s="255"/>
      <c r="C187" s="310"/>
      <c r="D187" s="248" t="s">
        <v>298</v>
      </c>
      <c r="G187" s="248" t="s">
        <v>299</v>
      </c>
      <c r="I187" s="256"/>
      <c r="K187" s="248" t="s">
        <v>300</v>
      </c>
      <c r="Q187" s="257"/>
      <c r="R187" s="255"/>
      <c r="S187" s="289"/>
      <c r="T187" s="300" t="s">
        <v>563</v>
      </c>
      <c r="U187" s="256" t="s">
        <v>1</v>
      </c>
      <c r="V187" s="267">
        <f>V181+V182+V183+V184+V185+V186</f>
        <v>0</v>
      </c>
      <c r="W187" s="256"/>
      <c r="X187" s="290" t="s">
        <v>333</v>
      </c>
      <c r="Y187" s="256"/>
      <c r="Z187" s="256"/>
      <c r="AC187" s="290"/>
      <c r="AD187" s="389" t="s">
        <v>410</v>
      </c>
      <c r="AE187" s="390" t="s">
        <v>1</v>
      </c>
      <c r="AF187" s="451">
        <v>0</v>
      </c>
      <c r="AG187" s="391"/>
      <c r="AI187" s="249">
        <f>AF187</f>
        <v>0</v>
      </c>
      <c r="AJ187" s="294" t="s">
        <v>328</v>
      </c>
    </row>
    <row r="188" spans="2:42" ht="15">
      <c r="B188" s="255"/>
      <c r="D188" s="290" t="s">
        <v>296</v>
      </c>
      <c r="G188" s="312" t="s">
        <v>561</v>
      </c>
      <c r="J188" s="290"/>
      <c r="K188" s="311" t="s">
        <v>291</v>
      </c>
      <c r="M188" s="216"/>
      <c r="O188" s="267"/>
      <c r="Q188" s="257"/>
      <c r="R188" s="255"/>
      <c r="S188" s="289"/>
      <c r="V188" s="267"/>
      <c r="Y188" s="256"/>
      <c r="Z188" s="256"/>
      <c r="AC188" s="290"/>
      <c r="AD188" s="392"/>
      <c r="AE188" s="390"/>
      <c r="AF188" s="393"/>
      <c r="AG188" s="391"/>
      <c r="AI188" s="249">
        <f>AF200</f>
        <v>0</v>
      </c>
      <c r="AJ188" s="294" t="s">
        <v>424</v>
      </c>
    </row>
    <row r="189" spans="2:42" ht="14.1" customHeight="1">
      <c r="B189" s="255"/>
      <c r="C189" s="307" t="s">
        <v>280</v>
      </c>
      <c r="D189" s="289" t="s">
        <v>558</v>
      </c>
      <c r="Q189" s="257"/>
      <c r="R189" s="255"/>
      <c r="S189" s="289"/>
      <c r="Y189" s="256"/>
      <c r="Z189" s="256"/>
      <c r="AB189" s="615" t="str">
        <f>IF(AA182="Lettera a)","Solo in caso di esonero dal CdC (art. 32 L.R. 15/2013), per oblazione lett. a) moltiplicare x 1 ","")</f>
        <v xml:space="preserve">Solo in caso di esonero dal CdC (art. 32 L.R. 15/2013), per oblazione lett. a) moltiplicare x 1 </v>
      </c>
      <c r="AC189" s="290"/>
      <c r="AD189" s="394" t="s">
        <v>412</v>
      </c>
      <c r="AE189" s="390"/>
      <c r="AF189" s="393"/>
      <c r="AG189" s="391"/>
    </row>
    <row r="190" spans="2:42" ht="12.75" customHeight="1">
      <c r="B190" s="255"/>
      <c r="C190" s="307" t="s">
        <v>280</v>
      </c>
      <c r="D190" s="289" t="s">
        <v>560</v>
      </c>
      <c r="E190" s="256"/>
      <c r="F190" s="256"/>
      <c r="I190" s="256"/>
      <c r="J190" s="290"/>
      <c r="K190" s="256"/>
      <c r="N190" s="216"/>
      <c r="Q190" s="257"/>
      <c r="R190" s="255"/>
      <c r="S190" s="518" t="s">
        <v>600</v>
      </c>
      <c r="T190" s="408"/>
      <c r="U190" s="407"/>
      <c r="V190" s="408"/>
      <c r="W190" s="408" t="s">
        <v>1</v>
      </c>
      <c r="X190" s="519">
        <f>V187</f>
        <v>0</v>
      </c>
      <c r="Y190" s="408" t="s">
        <v>2</v>
      </c>
      <c r="Z190" s="559">
        <v>2</v>
      </c>
      <c r="AA190" s="409" t="s">
        <v>1</v>
      </c>
      <c r="AB190" s="520">
        <f>IF(AND(AA182="Lettera a)",AA184="SI"),AJ190,0)</f>
        <v>1600</v>
      </c>
      <c r="AC190" s="290"/>
      <c r="AD190" s="394" t="s">
        <v>413</v>
      </c>
      <c r="AE190" s="390"/>
      <c r="AF190" s="393"/>
      <c r="AG190" s="395"/>
      <c r="AI190" s="315"/>
      <c r="AJ190" s="521">
        <f>MAX(1600,V187*Z190*0.8)</f>
        <v>1600</v>
      </c>
      <c r="AK190" s="522" t="s">
        <v>128</v>
      </c>
      <c r="AL190" s="522" t="s">
        <v>565</v>
      </c>
      <c r="AM190" s="250" t="str">
        <f>" [Oblazione (lett.a DC)] = [Cdc x "&amp;Z190&amp;"] "&amp;AB190&amp; " €"</f>
        <v xml:space="preserve"> [Oblazione (lett.a DC)] = [Cdc x 2] 1600 €</v>
      </c>
    </row>
    <row r="191" spans="2:42">
      <c r="B191" s="255"/>
      <c r="C191" s="307" t="s">
        <v>280</v>
      </c>
      <c r="D191" s="289" t="s">
        <v>559</v>
      </c>
      <c r="J191" s="290"/>
      <c r="N191" s="299"/>
      <c r="P191" s="267"/>
      <c r="Q191" s="257"/>
      <c r="R191" s="255"/>
      <c r="S191" s="518" t="s">
        <v>564</v>
      </c>
      <c r="T191" s="408"/>
      <c r="U191" s="407"/>
      <c r="V191" s="408"/>
      <c r="W191" s="408" t="s">
        <v>1</v>
      </c>
      <c r="X191" s="519">
        <f>V187</f>
        <v>0</v>
      </c>
      <c r="Y191" s="408" t="s">
        <v>2</v>
      </c>
      <c r="Z191" s="559">
        <v>2</v>
      </c>
      <c r="AA191" s="409" t="s">
        <v>1</v>
      </c>
      <c r="AB191" s="520">
        <f>IF(AND(AA182="Lettera a)",AA184="NO"),AJ191,0)</f>
        <v>0</v>
      </c>
      <c r="AD191" s="398" t="s">
        <v>415</v>
      </c>
      <c r="AE191" s="399"/>
      <c r="AF191" s="400"/>
      <c r="AG191" s="401"/>
      <c r="AJ191" s="521">
        <f>MAX(2000,V187*Z191)</f>
        <v>2000</v>
      </c>
      <c r="AK191" s="522" t="s">
        <v>125</v>
      </c>
      <c r="AL191" s="522" t="s">
        <v>565</v>
      </c>
      <c r="AM191" s="250" t="str">
        <f>" [Oblazione (lett.a G)] = [Cdc x "&amp;Z191&amp;"] "&amp;AB191&amp; " €"</f>
        <v xml:space="preserve"> [Oblazione (lett.a G)] = [Cdc x 2] 0 €</v>
      </c>
    </row>
    <row r="192" spans="2:42">
      <c r="B192" s="255"/>
      <c r="C192" s="517" t="s">
        <v>280</v>
      </c>
      <c r="D192" s="449" t="s">
        <v>670</v>
      </c>
      <c r="Q192" s="257"/>
      <c r="R192" s="255"/>
      <c r="AC192" s="290"/>
      <c r="AG192" s="257"/>
      <c r="AJ192" s="521">
        <f>MAX(825.6,V187*Z193*0.8)</f>
        <v>825.6</v>
      </c>
      <c r="AK192" s="522" t="s">
        <v>128</v>
      </c>
      <c r="AL192" s="522" t="s">
        <v>566</v>
      </c>
      <c r="AN192" s="314"/>
      <c r="AO192" s="250"/>
      <c r="AP192" s="250" t="str">
        <f>AM190&amp;CHAR(10)&amp;AM191&amp;CHAR(10)&amp;AM193&amp;CHAR(10)&amp;AM194&amp;CHAR(10)&amp;AM198&amp;CHAR(10)&amp;AM201</f>
        <v xml:space="preserve"> [Oblazione (lett.a DC)] = [Cdc x 2] 1600 €
 [Oblazione (lett.a G)] = [Cdc x 2] 0 €
 [Oblazione (lett.b DC)] = [Cdc x 1] 0 €
 [Oblazione (lett.b G)] = [Cdc x 1] 0 €
 [Oblazione (lett.c DC)] = 0 €
 [Oblazione (lett.c G)] = 0 €</v>
      </c>
    </row>
    <row r="193" spans="2:40" ht="15" customHeight="1">
      <c r="B193" s="255"/>
      <c r="C193" s="310"/>
      <c r="Q193" s="257"/>
      <c r="R193" s="255"/>
      <c r="S193" s="518" t="s">
        <v>601</v>
      </c>
      <c r="T193" s="408"/>
      <c r="U193" s="407"/>
      <c r="V193" s="408"/>
      <c r="W193" s="408" t="s">
        <v>1</v>
      </c>
      <c r="X193" s="519">
        <f>V187</f>
        <v>0</v>
      </c>
      <c r="Y193" s="408" t="s">
        <v>2</v>
      </c>
      <c r="Z193" s="368">
        <v>1</v>
      </c>
      <c r="AA193" s="409" t="s">
        <v>1</v>
      </c>
      <c r="AB193" s="520">
        <f>IF(AND(AA182="Lettera b)",AA184="SI"),AJ192,0)</f>
        <v>0</v>
      </c>
      <c r="AG193" s="257"/>
      <c r="AJ193" s="521">
        <f>MAX(1032,V187*Z194)</f>
        <v>1032</v>
      </c>
      <c r="AK193" s="522" t="s">
        <v>125</v>
      </c>
      <c r="AL193" s="522" t="s">
        <v>566</v>
      </c>
      <c r="AM193" s="250" t="str">
        <f>" [Oblazione (lett.b DC)] = [Cdc x 1] "&amp;AB193&amp; " €"</f>
        <v xml:space="preserve"> [Oblazione (lett.b DC)] = [Cdc x 1] 0 €</v>
      </c>
    </row>
    <row r="194" spans="2:40">
      <c r="B194" s="255"/>
      <c r="C194" s="306"/>
      <c r="D194" s="248" t="s">
        <v>298</v>
      </c>
      <c r="G194" s="248" t="s">
        <v>299</v>
      </c>
      <c r="I194" s="256"/>
      <c r="K194" s="248" t="s">
        <v>300</v>
      </c>
      <c r="Q194" s="257"/>
      <c r="R194" s="255"/>
      <c r="S194" s="518" t="s">
        <v>567</v>
      </c>
      <c r="T194" s="408"/>
      <c r="U194" s="407"/>
      <c r="V194" s="408"/>
      <c r="W194" s="408" t="s">
        <v>1</v>
      </c>
      <c r="X194" s="519">
        <f>V187</f>
        <v>0</v>
      </c>
      <c r="Y194" s="408" t="s">
        <v>2</v>
      </c>
      <c r="Z194" s="368">
        <v>1</v>
      </c>
      <c r="AA194" s="409" t="s">
        <v>1</v>
      </c>
      <c r="AB194" s="520">
        <f>IF(AND(AA182="Lettera b)",AA184="NO"),AJ193,0)</f>
        <v>0</v>
      </c>
      <c r="AD194" s="529"/>
      <c r="AF194" s="403"/>
      <c r="AG194" s="257"/>
      <c r="AI194" s="343">
        <v>1</v>
      </c>
      <c r="AJ194" s="521"/>
      <c r="AK194" s="522"/>
      <c r="AL194" s="522"/>
      <c r="AM194" s="250" t="str">
        <f>" [Oblazione (lett.b G)] = [Cdc x 1] "&amp;AB194&amp; " €"</f>
        <v xml:space="preserve"> [Oblazione (lett.b G)] = [Cdc x 1] 0 €</v>
      </c>
    </row>
    <row r="195" spans="2:40" ht="15">
      <c r="B195" s="255"/>
      <c r="D195" s="290" t="s">
        <v>297</v>
      </c>
      <c r="G195" s="312" t="s">
        <v>561</v>
      </c>
      <c r="J195" s="290"/>
      <c r="K195" s="311" t="s">
        <v>294</v>
      </c>
      <c r="M195" s="216"/>
      <c r="O195" s="267"/>
      <c r="Q195" s="257"/>
      <c r="R195" s="255"/>
      <c r="AD195" s="529"/>
      <c r="AE195" s="406"/>
      <c r="AG195" s="257"/>
      <c r="AI195" s="343">
        <v>2</v>
      </c>
    </row>
    <row r="196" spans="2:40">
      <c r="B196" s="255"/>
      <c r="D196" s="256"/>
      <c r="F196" s="256"/>
      <c r="G196" s="311"/>
      <c r="H196" s="256"/>
      <c r="J196" s="298"/>
      <c r="K196" s="311" t="s">
        <v>591</v>
      </c>
      <c r="M196" s="299"/>
      <c r="Q196" s="257"/>
      <c r="R196" s="255"/>
      <c r="S196" s="614" t="str">
        <f>IF(AA182="Lettera c)","Selezionare il range di valori nel quale sia compreso IL DOPPIO dell'incremento di valore venale.","")</f>
        <v/>
      </c>
      <c r="AG196" s="257"/>
      <c r="AI196" s="314"/>
      <c r="AJ196" s="314"/>
    </row>
    <row r="197" spans="2:40">
      <c r="B197" s="255"/>
      <c r="C197" s="307" t="s">
        <v>280</v>
      </c>
      <c r="D197" s="289" t="s">
        <v>668</v>
      </c>
      <c r="Q197" s="257"/>
      <c r="R197" s="255"/>
      <c r="S197" s="614" t="str">
        <f>IF(AA182="Lettera c)","Esempio: se l'aumento di valore da perizia è pari a € 8.000, selezionare il range da € 14.001 a € 17.000","")</f>
        <v/>
      </c>
      <c r="AD197" s="340"/>
      <c r="AE197" s="528"/>
      <c r="AG197" s="257"/>
      <c r="AJ197" s="314"/>
    </row>
    <row r="198" spans="2:40" ht="14.1" customHeight="1">
      <c r="B198" s="255"/>
      <c r="C198" s="307" t="s">
        <v>280</v>
      </c>
      <c r="D198" s="289" t="s">
        <v>592</v>
      </c>
      <c r="E198" s="256"/>
      <c r="Q198" s="257"/>
      <c r="R198" s="255"/>
      <c r="S198" s="286"/>
      <c r="T198" s="287"/>
      <c r="U198" s="287"/>
      <c r="V198" s="287"/>
      <c r="W198" s="287"/>
      <c r="X198" s="287"/>
      <c r="Y198" s="287"/>
      <c r="Z198" s="535"/>
      <c r="AA198" s="287"/>
      <c r="AB198" s="523"/>
      <c r="AC198" s="290"/>
      <c r="AG198" s="257"/>
      <c r="AJ198" s="314"/>
      <c r="AM198" s="250" t="str">
        <f>" [Oblazione (lett.c DC)] = "&amp;AB199&amp; " €"</f>
        <v xml:space="preserve"> [Oblazione (lett.c DC)] = 0 €</v>
      </c>
    </row>
    <row r="199" spans="2:40" ht="15">
      <c r="B199" s="255"/>
      <c r="C199" s="307" t="s">
        <v>280</v>
      </c>
      <c r="D199" s="289" t="s">
        <v>593</v>
      </c>
      <c r="F199" s="256"/>
      <c r="I199" s="256"/>
      <c r="J199" s="290"/>
      <c r="K199" s="256"/>
      <c r="N199" s="216"/>
      <c r="Q199" s="257"/>
      <c r="R199" s="255"/>
      <c r="S199" s="410" t="s">
        <v>671</v>
      </c>
      <c r="T199" s="616"/>
      <c r="U199" s="616"/>
      <c r="V199" s="616"/>
      <c r="W199" s="616" t="s">
        <v>1</v>
      </c>
      <c r="X199" s="689">
        <v>0</v>
      </c>
      <c r="Y199" s="695"/>
      <c r="Z199" s="397"/>
      <c r="AA199" s="280" t="s">
        <v>1</v>
      </c>
      <c r="AB199" s="412">
        <f>IF(AA182="Lettera a)",0,IF(S221="Lettera b)",0,IF(AA184="NO",0,VLOOKUP(X199,AM213:AN222,2,0))))</f>
        <v>0</v>
      </c>
      <c r="AD199" s="385" t="s">
        <v>469</v>
      </c>
      <c r="AE199" s="386"/>
      <c r="AF199" s="387" t="s">
        <v>408</v>
      </c>
      <c r="AG199" s="388"/>
      <c r="AI199" s="314"/>
      <c r="AJ199" s="314"/>
      <c r="AN199" s="604"/>
    </row>
    <row r="200" spans="2:40" ht="14.1" customHeight="1">
      <c r="B200" s="255"/>
      <c r="C200" s="517" t="s">
        <v>280</v>
      </c>
      <c r="D200" s="449" t="s">
        <v>594</v>
      </c>
      <c r="J200" s="290"/>
      <c r="N200" s="299"/>
      <c r="Q200" s="257"/>
      <c r="R200" s="255"/>
      <c r="S200" s="286"/>
      <c r="T200" s="287"/>
      <c r="U200" s="287"/>
      <c r="V200" s="287"/>
      <c r="W200" s="287"/>
      <c r="X200" s="287"/>
      <c r="Y200" s="287"/>
      <c r="Z200" s="535"/>
      <c r="AA200" s="287"/>
      <c r="AB200" s="523"/>
      <c r="AD200" s="389" t="s">
        <v>416</v>
      </c>
      <c r="AE200" s="390" t="s">
        <v>1</v>
      </c>
      <c r="AF200" s="451">
        <v>0</v>
      </c>
      <c r="AG200" s="391"/>
    </row>
    <row r="201" spans="2:40" ht="15">
      <c r="B201" s="255"/>
      <c r="Q201" s="257"/>
      <c r="R201" s="255"/>
      <c r="S201" s="410" t="s">
        <v>568</v>
      </c>
      <c r="T201" s="279"/>
      <c r="U201" s="279"/>
      <c r="V201" s="279"/>
      <c r="W201" s="279" t="s">
        <v>1</v>
      </c>
      <c r="X201" s="689">
        <v>0</v>
      </c>
      <c r="Y201" s="690"/>
      <c r="Z201" s="397"/>
      <c r="AA201" s="280" t="s">
        <v>1</v>
      </c>
      <c r="AB201" s="412">
        <f>IF(AA182="Lettera a)",0,IF(S221="Lettera b)",0,IF(AA184="SI",0,VLOOKUP(X199,AJ213:AK222,2,0))))</f>
        <v>0</v>
      </c>
      <c r="AC201" s="290"/>
      <c r="AD201" s="392"/>
      <c r="AE201" s="390"/>
      <c r="AF201" s="393"/>
      <c r="AG201" s="391"/>
      <c r="AM201" s="250" t="str">
        <f>" [Oblazione (lett.c G)] = "&amp;AB201&amp; " €"</f>
        <v xml:space="preserve"> [Oblazione (lett.c G)] = 0 €</v>
      </c>
    </row>
    <row r="202" spans="2:40">
      <c r="B202" s="255"/>
      <c r="C202" s="307"/>
      <c r="D202" s="299"/>
      <c r="Q202" s="257"/>
      <c r="R202" s="255"/>
      <c r="AC202" s="290"/>
      <c r="AD202" s="394" t="s">
        <v>417</v>
      </c>
      <c r="AE202" s="390"/>
      <c r="AF202" s="393"/>
      <c r="AG202" s="391"/>
    </row>
    <row r="203" spans="2:40">
      <c r="B203" s="255"/>
      <c r="C203" s="307"/>
      <c r="D203" s="299"/>
      <c r="Q203" s="257"/>
      <c r="R203" s="255"/>
      <c r="S203" s="404"/>
      <c r="T203" s="287"/>
      <c r="U203" s="287"/>
      <c r="V203" s="287"/>
      <c r="W203" s="287"/>
      <c r="X203" s="287"/>
      <c r="Y203" s="287"/>
      <c r="Z203" s="287"/>
      <c r="AA203" s="287"/>
      <c r="AB203" s="287"/>
      <c r="AC203" s="290"/>
      <c r="AD203" s="394" t="s">
        <v>418</v>
      </c>
      <c r="AE203" s="390"/>
      <c r="AF203" s="393"/>
      <c r="AG203" s="391"/>
      <c r="AI203" s="614"/>
    </row>
    <row r="204" spans="2:40">
      <c r="B204" s="255"/>
      <c r="C204" s="306"/>
      <c r="D204" s="289"/>
      <c r="Q204" s="257"/>
      <c r="R204" s="255"/>
      <c r="S204" s="290"/>
      <c r="T204" s="289" t="s">
        <v>403</v>
      </c>
      <c r="U204" s="231" t="s">
        <v>1</v>
      </c>
      <c r="V204" s="289" t="s">
        <v>398</v>
      </c>
      <c r="AB204" s="334">
        <f>AF131</f>
        <v>0</v>
      </c>
      <c r="AC204" s="290"/>
      <c r="AD204" s="398" t="s">
        <v>415</v>
      </c>
      <c r="AE204" s="399"/>
      <c r="AF204" s="400"/>
      <c r="AG204" s="401"/>
    </row>
    <row r="205" spans="2:40">
      <c r="B205" s="255"/>
      <c r="Q205" s="257"/>
      <c r="R205" s="255"/>
      <c r="S205" s="290"/>
      <c r="T205" s="289" t="s">
        <v>20</v>
      </c>
      <c r="U205" s="231" t="s">
        <v>1</v>
      </c>
      <c r="V205" s="289" t="s">
        <v>419</v>
      </c>
      <c r="AB205" s="334">
        <f>AB131+AB148</f>
        <v>0</v>
      </c>
      <c r="AC205" s="290"/>
      <c r="AG205" s="257"/>
      <c r="AI205" s="314"/>
    </row>
    <row r="206" spans="2:40" ht="14.1" customHeight="1">
      <c r="B206" s="255"/>
      <c r="Q206" s="257"/>
      <c r="R206" s="255"/>
      <c r="S206" s="290"/>
      <c r="T206" s="476" t="s">
        <v>486</v>
      </c>
      <c r="U206" s="279" t="s">
        <v>1</v>
      </c>
      <c r="V206" s="476" t="s">
        <v>488</v>
      </c>
      <c r="W206" s="279"/>
      <c r="X206" s="279"/>
      <c r="Y206" s="279"/>
      <c r="Z206" s="279"/>
      <c r="AA206" s="279"/>
      <c r="AB206" s="396">
        <f>AB173</f>
        <v>0</v>
      </c>
      <c r="AC206" s="290"/>
      <c r="AG206" s="465" t="s">
        <v>470</v>
      </c>
    </row>
    <row r="207" spans="2:40" ht="15" customHeight="1">
      <c r="B207" s="255"/>
      <c r="Q207" s="257"/>
      <c r="R207" s="255"/>
      <c r="S207" s="290"/>
      <c r="T207" s="290" t="s">
        <v>420</v>
      </c>
      <c r="U207" s="231" t="s">
        <v>1</v>
      </c>
      <c r="V207" s="290" t="s">
        <v>421</v>
      </c>
      <c r="W207" s="300"/>
      <c r="AB207" s="267">
        <f>AB204+AB205+AB206</f>
        <v>0</v>
      </c>
      <c r="AG207" s="465" t="s">
        <v>471</v>
      </c>
    </row>
    <row r="208" spans="2:40">
      <c r="B208" s="255"/>
      <c r="Q208" s="257"/>
      <c r="R208" s="255"/>
      <c r="S208" s="279"/>
      <c r="T208" s="279"/>
      <c r="U208" s="279"/>
      <c r="V208" s="279"/>
      <c r="W208" s="279"/>
      <c r="X208" s="279"/>
      <c r="Y208" s="279"/>
      <c r="Z208" s="279"/>
      <c r="AA208" s="279"/>
      <c r="AB208" s="279"/>
      <c r="AC208" s="290"/>
      <c r="AG208" s="465" t="s">
        <v>466</v>
      </c>
      <c r="AI208" s="608">
        <f>AB190+AB191+AB193+AB194+AB199+AB201</f>
        <v>1600</v>
      </c>
      <c r="AJ208" s="609" t="s">
        <v>574</v>
      </c>
    </row>
    <row r="209" spans="2:40" ht="14.1" customHeight="1">
      <c r="B209" s="255"/>
      <c r="Q209" s="257"/>
      <c r="R209" s="255"/>
      <c r="S209" s="290"/>
      <c r="AC209" s="290"/>
      <c r="AG209" s="466" t="s">
        <v>467</v>
      </c>
      <c r="AI209" s="525">
        <f>AB210</f>
        <v>1600</v>
      </c>
      <c r="AJ209" s="402" t="s">
        <v>430</v>
      </c>
      <c r="AK209" s="522"/>
      <c r="AL209" s="522"/>
    </row>
    <row r="210" spans="2:40">
      <c r="B210" s="255"/>
      <c r="Q210" s="257"/>
      <c r="R210" s="255"/>
      <c r="S210" s="290"/>
      <c r="T210" s="139" t="s">
        <v>571</v>
      </c>
      <c r="X210" s="290"/>
      <c r="AA210" s="231" t="s">
        <v>1</v>
      </c>
      <c r="AB210" s="335">
        <f>AB190+AB191+AB193+AB194+AB199+AB201+AB207+AF200</f>
        <v>1600</v>
      </c>
      <c r="AE210" s="413"/>
      <c r="AG210" s="257"/>
      <c r="AI210" s="525">
        <f>AB210-AF200</f>
        <v>1600</v>
      </c>
      <c r="AJ210" s="402" t="s">
        <v>431</v>
      </c>
      <c r="AK210" s="522"/>
      <c r="AL210" s="522"/>
    </row>
    <row r="211" spans="2:40" ht="14.1" customHeight="1" thickBot="1">
      <c r="B211" s="283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5"/>
      <c r="R211" s="283"/>
      <c r="S211" s="336"/>
      <c r="T211" s="284"/>
      <c r="U211" s="284"/>
      <c r="V211" s="284"/>
      <c r="W211" s="284"/>
      <c r="X211" s="336"/>
      <c r="Y211" s="284"/>
      <c r="Z211" s="284"/>
      <c r="AA211" s="284"/>
      <c r="AB211" s="284"/>
      <c r="AC211" s="336"/>
      <c r="AD211" s="337"/>
      <c r="AE211" s="284"/>
      <c r="AF211" s="284"/>
      <c r="AG211" s="285"/>
      <c r="AI211" s="610">
        <f>AB210-AB207</f>
        <v>1600</v>
      </c>
      <c r="AJ211" s="609" t="s">
        <v>661</v>
      </c>
      <c r="AK211" s="522"/>
      <c r="AL211" s="522"/>
    </row>
    <row r="212" spans="2:40" ht="12.75" customHeight="1">
      <c r="B212" s="705" t="s">
        <v>680</v>
      </c>
      <c r="C212" s="706"/>
      <c r="D212" s="706"/>
      <c r="E212" s="706"/>
      <c r="F212" s="706"/>
      <c r="G212" s="706"/>
      <c r="H212" s="706"/>
      <c r="I212" s="706"/>
      <c r="J212" s="706"/>
      <c r="K212" s="706"/>
      <c r="L212" s="706"/>
      <c r="M212" s="706"/>
      <c r="N212" s="706"/>
      <c r="O212" s="706"/>
      <c r="P212" s="706"/>
      <c r="Q212" s="707"/>
      <c r="R212" s="705" t="s">
        <v>680</v>
      </c>
      <c r="S212" s="706"/>
      <c r="T212" s="706"/>
      <c r="U212" s="706"/>
      <c r="V212" s="706"/>
      <c r="W212" s="706"/>
      <c r="X212" s="706"/>
      <c r="Y212" s="706"/>
      <c r="Z212" s="706"/>
      <c r="AA212" s="706"/>
      <c r="AB212" s="706"/>
      <c r="AC212" s="706"/>
      <c r="AD212" s="706"/>
      <c r="AE212" s="706"/>
      <c r="AF212" s="707"/>
      <c r="AG212" s="696" t="s">
        <v>490</v>
      </c>
    </row>
    <row r="213" spans="2:40" ht="12.75" customHeight="1">
      <c r="B213" s="708"/>
      <c r="C213" s="709"/>
      <c r="D213" s="709"/>
      <c r="E213" s="709"/>
      <c r="F213" s="709"/>
      <c r="G213" s="709"/>
      <c r="H213" s="709"/>
      <c r="I213" s="709"/>
      <c r="J213" s="709"/>
      <c r="K213" s="709"/>
      <c r="L213" s="709"/>
      <c r="M213" s="709"/>
      <c r="N213" s="709"/>
      <c r="O213" s="709"/>
      <c r="P213" s="709"/>
      <c r="Q213" s="710"/>
      <c r="R213" s="708"/>
      <c r="S213" s="709"/>
      <c r="T213" s="709"/>
      <c r="U213" s="709"/>
      <c r="V213" s="709"/>
      <c r="W213" s="709"/>
      <c r="X213" s="709"/>
      <c r="Y213" s="709"/>
      <c r="Z213" s="709"/>
      <c r="AA213" s="709"/>
      <c r="AB213" s="709"/>
      <c r="AC213" s="709"/>
      <c r="AD213" s="709"/>
      <c r="AE213" s="709"/>
      <c r="AF213" s="710"/>
      <c r="AG213" s="697"/>
      <c r="AI213" s="525" t="s">
        <v>287</v>
      </c>
      <c r="AJ213" s="536">
        <v>0</v>
      </c>
      <c r="AK213" s="525">
        <v>1032</v>
      </c>
      <c r="AL213" s="522"/>
      <c r="AM213" s="605">
        <v>0</v>
      </c>
      <c r="AN213" s="249">
        <v>516</v>
      </c>
    </row>
    <row r="214" spans="2:40" ht="12.75" customHeight="1">
      <c r="B214" s="698" t="s">
        <v>349</v>
      </c>
      <c r="C214" s="699"/>
      <c r="D214" s="699"/>
      <c r="E214" s="699"/>
      <c r="F214" s="699"/>
      <c r="G214" s="699"/>
      <c r="H214" s="699"/>
      <c r="I214" s="699"/>
      <c r="J214" s="699"/>
      <c r="K214" s="699"/>
      <c r="L214" s="699"/>
      <c r="M214" s="699"/>
      <c r="N214" s="699"/>
      <c r="O214" s="699"/>
      <c r="P214" s="699"/>
      <c r="Q214" s="700"/>
      <c r="R214" s="698" t="s">
        <v>349</v>
      </c>
      <c r="S214" s="699"/>
      <c r="T214" s="699"/>
      <c r="U214" s="699"/>
      <c r="V214" s="699"/>
      <c r="W214" s="699"/>
      <c r="X214" s="699"/>
      <c r="Y214" s="699"/>
      <c r="Z214" s="699"/>
      <c r="AA214" s="699"/>
      <c r="AB214" s="699"/>
      <c r="AC214" s="699"/>
      <c r="AD214" s="699"/>
      <c r="AE214" s="699"/>
      <c r="AF214" s="700"/>
      <c r="AG214" s="697"/>
      <c r="AI214" s="525" t="s">
        <v>289</v>
      </c>
      <c r="AJ214" s="526" t="s">
        <v>313</v>
      </c>
      <c r="AK214" s="527">
        <v>1032</v>
      </c>
      <c r="AL214" s="522"/>
      <c r="AM214" s="317" t="s">
        <v>313</v>
      </c>
      <c r="AN214" s="524">
        <v>516</v>
      </c>
    </row>
    <row r="215" spans="2:40" ht="13.5" customHeight="1" thickBot="1">
      <c r="B215" s="698"/>
      <c r="C215" s="699"/>
      <c r="D215" s="699"/>
      <c r="E215" s="699"/>
      <c r="F215" s="699"/>
      <c r="G215" s="699"/>
      <c r="H215" s="699"/>
      <c r="I215" s="699"/>
      <c r="J215" s="699"/>
      <c r="K215" s="699"/>
      <c r="L215" s="699"/>
      <c r="M215" s="699"/>
      <c r="N215" s="699"/>
      <c r="O215" s="699"/>
      <c r="P215" s="699"/>
      <c r="Q215" s="700"/>
      <c r="R215" s="701"/>
      <c r="S215" s="702"/>
      <c r="T215" s="702"/>
      <c r="U215" s="702"/>
      <c r="V215" s="702"/>
      <c r="W215" s="702"/>
      <c r="X215" s="702"/>
      <c r="Y215" s="702"/>
      <c r="Z215" s="702"/>
      <c r="AA215" s="702"/>
      <c r="AB215" s="702"/>
      <c r="AC215" s="702"/>
      <c r="AD215" s="702"/>
      <c r="AE215" s="702"/>
      <c r="AF215" s="703"/>
      <c r="AG215" s="704"/>
      <c r="AI215" s="525" t="s">
        <v>293</v>
      </c>
      <c r="AJ215" s="526" t="s">
        <v>314</v>
      </c>
      <c r="AK215" s="527">
        <f>(AK214+AK216)/2</f>
        <v>2194</v>
      </c>
      <c r="AL215" s="522"/>
      <c r="AM215" s="317" t="s">
        <v>314</v>
      </c>
      <c r="AN215" s="524">
        <f>(AN214+AN216)/2</f>
        <v>1097</v>
      </c>
    </row>
    <row r="216" spans="2:40" ht="15">
      <c r="B216" s="252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304"/>
      <c r="Q216" s="293"/>
      <c r="R216" s="328"/>
      <c r="S216" s="329"/>
      <c r="T216" s="329"/>
      <c r="U216" s="329"/>
      <c r="V216" s="329"/>
      <c r="W216" s="329"/>
      <c r="X216" s="329"/>
      <c r="Y216" s="329"/>
      <c r="Z216" s="329"/>
      <c r="AA216" s="329"/>
      <c r="AB216" s="329"/>
      <c r="AC216" s="329"/>
      <c r="AD216" s="329"/>
      <c r="AE216" s="329"/>
      <c r="AF216" s="329"/>
      <c r="AG216" s="330"/>
      <c r="AI216" s="525"/>
      <c r="AJ216" s="402" t="s">
        <v>315</v>
      </c>
      <c r="AK216" s="527">
        <f>(AK214+AK218)/2</f>
        <v>3356</v>
      </c>
      <c r="AL216" s="522"/>
      <c r="AM216" s="294" t="s">
        <v>315</v>
      </c>
      <c r="AN216" s="524">
        <f>(AN214+AN218)/2</f>
        <v>1678</v>
      </c>
    </row>
    <row r="217" spans="2:40" ht="15">
      <c r="B217" s="255"/>
      <c r="D217" s="290" t="s">
        <v>590</v>
      </c>
      <c r="P217" s="305"/>
      <c r="Q217" s="297"/>
      <c r="R217" s="331"/>
      <c r="S217" s="327"/>
      <c r="T217" s="327"/>
      <c r="U217" s="327"/>
      <c r="V217" s="327"/>
      <c r="W217" s="327"/>
      <c r="X217" s="327"/>
      <c r="Y217" s="327"/>
      <c r="Z217" s="327"/>
      <c r="AA217" s="327"/>
      <c r="AB217" s="327"/>
      <c r="AC217" s="327"/>
      <c r="AD217" s="327"/>
      <c r="AE217" s="327"/>
      <c r="AF217" s="327"/>
      <c r="AG217" s="332"/>
      <c r="AI217" s="525"/>
      <c r="AJ217" s="402" t="s">
        <v>316</v>
      </c>
      <c r="AK217" s="527">
        <f>(AK216+AK218)/2</f>
        <v>4518</v>
      </c>
      <c r="AL217" s="522"/>
      <c r="AM217" s="294" t="s">
        <v>316</v>
      </c>
      <c r="AN217" s="524">
        <f>(AN216+AN218)/2</f>
        <v>2259</v>
      </c>
    </row>
    <row r="218" spans="2:40">
      <c r="B218" s="255"/>
      <c r="C218" s="306" t="s">
        <v>322</v>
      </c>
      <c r="D218" s="289" t="s">
        <v>427</v>
      </c>
      <c r="E218" s="256"/>
      <c r="F218" s="256"/>
      <c r="I218" s="256"/>
      <c r="J218" s="290" t="s">
        <v>323</v>
      </c>
      <c r="M218" s="216"/>
      <c r="O218" s="267"/>
      <c r="Q218" s="257"/>
      <c r="R218" s="255"/>
      <c r="AF218" s="296"/>
      <c r="AG218" s="297"/>
      <c r="AI218" s="525"/>
      <c r="AJ218" s="402" t="s">
        <v>317</v>
      </c>
      <c r="AK218" s="527">
        <f>(AK222+AK214)/2</f>
        <v>5680</v>
      </c>
      <c r="AL218" s="522"/>
      <c r="AM218" s="294" t="s">
        <v>317</v>
      </c>
      <c r="AN218" s="524">
        <f>(AN222+AN214)/2</f>
        <v>2840</v>
      </c>
    </row>
    <row r="219" spans="2:40">
      <c r="B219" s="255"/>
      <c r="C219" s="306" t="s">
        <v>322</v>
      </c>
      <c r="D219" s="289" t="s">
        <v>428</v>
      </c>
      <c r="J219" s="290" t="s">
        <v>324</v>
      </c>
      <c r="M219" s="299"/>
      <c r="Q219" s="257"/>
      <c r="R219" s="255"/>
      <c r="S219" s="290" t="s">
        <v>332</v>
      </c>
      <c r="X219" s="274"/>
      <c r="Y219" s="691" t="s">
        <v>607</v>
      </c>
      <c r="Z219" s="641"/>
      <c r="AA219" s="641"/>
      <c r="AB219" s="641"/>
      <c r="AC219" s="641"/>
      <c r="AD219" s="641"/>
      <c r="AE219" s="642"/>
      <c r="AF219" s="713" t="s">
        <v>125</v>
      </c>
      <c r="AG219" s="297"/>
      <c r="AI219" s="525" t="s">
        <v>128</v>
      </c>
      <c r="AJ219" s="402" t="s">
        <v>318</v>
      </c>
      <c r="AK219" s="527">
        <f>(AK218+AK220)/2</f>
        <v>6842</v>
      </c>
      <c r="AL219" s="522"/>
      <c r="AM219" s="294" t="s">
        <v>318</v>
      </c>
      <c r="AN219" s="524">
        <f>(AN218+AN220)/2</f>
        <v>3421</v>
      </c>
    </row>
    <row r="220" spans="2:40">
      <c r="B220" s="255"/>
      <c r="C220" s="306" t="s">
        <v>322</v>
      </c>
      <c r="D220" s="289" t="s">
        <v>325</v>
      </c>
      <c r="J220" s="290" t="s">
        <v>11</v>
      </c>
      <c r="Q220" s="257"/>
      <c r="R220" s="255"/>
      <c r="X220" s="274"/>
      <c r="Y220" s="692"/>
      <c r="Z220" s="693"/>
      <c r="AA220" s="693"/>
      <c r="AB220" s="693"/>
      <c r="AC220" s="693"/>
      <c r="AD220" s="693"/>
      <c r="AE220" s="694"/>
      <c r="AF220" s="714"/>
      <c r="AG220" s="257"/>
      <c r="AI220" s="525" t="s">
        <v>125</v>
      </c>
      <c r="AJ220" s="402" t="s">
        <v>319</v>
      </c>
      <c r="AK220" s="527">
        <f>(AK218+AK222)/2</f>
        <v>8004</v>
      </c>
      <c r="AL220" s="522"/>
      <c r="AM220" s="294" t="s">
        <v>319</v>
      </c>
      <c r="AN220" s="524">
        <f>(AN218+AN222)/2</f>
        <v>4002</v>
      </c>
    </row>
    <row r="221" spans="2:40" ht="15">
      <c r="B221" s="255"/>
      <c r="C221" s="306" t="s">
        <v>322</v>
      </c>
      <c r="D221" s="289" t="s">
        <v>326</v>
      </c>
      <c r="F221" s="256"/>
      <c r="J221" s="290" t="s">
        <v>12</v>
      </c>
      <c r="K221" s="256"/>
      <c r="N221" s="216"/>
      <c r="P221" s="267"/>
      <c r="Q221" s="257"/>
      <c r="R221" s="255"/>
      <c r="S221" s="634" t="str">
        <f>AA182</f>
        <v>Lettera a)</v>
      </c>
      <c r="T221" s="634"/>
      <c r="U221" s="634"/>
      <c r="V221" s="299" t="s">
        <v>562</v>
      </c>
      <c r="X221" s="274"/>
      <c r="Y221" s="715" t="s">
        <v>608</v>
      </c>
      <c r="Z221" s="716"/>
      <c r="AA221" s="716"/>
      <c r="AB221" s="716"/>
      <c r="AC221" s="716"/>
      <c r="AD221" s="716"/>
      <c r="AE221" s="716"/>
      <c r="AF221" s="717"/>
      <c r="AG221" s="257"/>
      <c r="AI221" s="525"/>
      <c r="AJ221" s="402" t="s">
        <v>320</v>
      </c>
      <c r="AK221" s="527">
        <f>(AK220+AK222)/2</f>
        <v>9166</v>
      </c>
      <c r="AL221" s="522"/>
      <c r="AM221" s="294" t="s">
        <v>320</v>
      </c>
      <c r="AN221" s="524">
        <f>(AN220+AN222)/2</f>
        <v>4583</v>
      </c>
    </row>
    <row r="222" spans="2:40">
      <c r="B222" s="255"/>
      <c r="C222" s="415" t="s">
        <v>322</v>
      </c>
      <c r="D222" s="397" t="s">
        <v>327</v>
      </c>
      <c r="E222" s="279"/>
      <c r="F222" s="280"/>
      <c r="G222" s="279"/>
      <c r="H222" s="279"/>
      <c r="I222" s="279"/>
      <c r="J222" s="411" t="s">
        <v>328</v>
      </c>
      <c r="N222" s="299"/>
      <c r="Q222" s="257"/>
      <c r="R222" s="255"/>
      <c r="W222" s="324"/>
      <c r="X222" s="274"/>
      <c r="Y222" s="560" t="s">
        <v>311</v>
      </c>
      <c r="Z222" s="287"/>
      <c r="AA222" s="259"/>
      <c r="AB222" s="287"/>
      <c r="AC222" s="260"/>
      <c r="AD222" s="287"/>
      <c r="AE222" s="260"/>
      <c r="AF222" s="711">
        <f>IF(V231&lt;5000.01,0,AI223)</f>
        <v>0</v>
      </c>
      <c r="AG222" s="257"/>
      <c r="AI222" s="525"/>
      <c r="AJ222" s="402" t="s">
        <v>321</v>
      </c>
      <c r="AK222" s="527">
        <v>10328</v>
      </c>
      <c r="AL222" s="522"/>
      <c r="AM222" s="294" t="s">
        <v>321</v>
      </c>
      <c r="AN222" s="524">
        <v>5164</v>
      </c>
    </row>
    <row r="223" spans="2:40" ht="14.1" customHeight="1">
      <c r="B223" s="255"/>
      <c r="Q223" s="257"/>
      <c r="R223" s="255"/>
      <c r="T223" s="340" t="str">
        <f>IF(S221="Lettera b)",AI297,IF(S221="Lettera c)",AI298," "))</f>
        <v xml:space="preserve"> </v>
      </c>
      <c r="X223" s="274"/>
      <c r="Y223" s="561" t="s">
        <v>355</v>
      </c>
      <c r="Z223" s="279"/>
      <c r="AA223" s="279"/>
      <c r="AB223" s="562"/>
      <c r="AC223" s="562"/>
      <c r="AD223" s="279"/>
      <c r="AE223" s="562"/>
      <c r="AF223" s="712"/>
      <c r="AG223" s="257"/>
      <c r="AI223" s="521">
        <f>IF(AF219="NO",0,V231/2)</f>
        <v>0</v>
      </c>
      <c r="AJ223" s="522"/>
      <c r="AK223" s="522"/>
      <c r="AL223" s="522"/>
    </row>
    <row r="224" spans="2:40">
      <c r="B224" s="255"/>
      <c r="C224" s="415" t="s">
        <v>322</v>
      </c>
      <c r="D224" s="397" t="s">
        <v>429</v>
      </c>
      <c r="E224" s="279"/>
      <c r="F224" s="280"/>
      <c r="G224" s="279"/>
      <c r="H224" s="279"/>
      <c r="I224" s="279"/>
      <c r="J224" s="411" t="s">
        <v>424</v>
      </c>
      <c r="K224" s="256"/>
      <c r="Q224" s="257"/>
      <c r="R224" s="255"/>
      <c r="X224" s="274"/>
      <c r="Y224" s="563"/>
      <c r="AB224" s="274"/>
      <c r="AC224" s="274"/>
      <c r="AE224" s="65" t="s">
        <v>312</v>
      </c>
      <c r="AF224" s="316">
        <f>AF222</f>
        <v>0</v>
      </c>
      <c r="AG224" s="257"/>
      <c r="AI224" s="525"/>
      <c r="AJ224" s="522"/>
      <c r="AK224" s="522"/>
      <c r="AL224" s="522"/>
    </row>
    <row r="225" spans="2:40" ht="14.1" customHeight="1">
      <c r="B225" s="255"/>
      <c r="Q225" s="257"/>
      <c r="R225" s="255"/>
      <c r="T225" s="290"/>
      <c r="V225" s="274"/>
      <c r="W225" s="274"/>
      <c r="X225" s="274"/>
      <c r="Y225" s="560" t="s">
        <v>283</v>
      </c>
      <c r="Z225" s="287"/>
      <c r="AA225" s="259"/>
      <c r="AB225" s="260"/>
      <c r="AC225" s="260"/>
      <c r="AD225" s="260"/>
      <c r="AE225" s="260"/>
      <c r="AF225" s="711">
        <f>AF222/2</f>
        <v>0</v>
      </c>
      <c r="AG225" s="257"/>
      <c r="AI225" s="521">
        <f>AB190+AB191</f>
        <v>1600</v>
      </c>
      <c r="AJ225" s="522"/>
      <c r="AK225" s="522"/>
      <c r="AL225" s="522"/>
    </row>
    <row r="226" spans="2:40" ht="12.75" customHeight="1">
      <c r="B226" s="255"/>
      <c r="C226" s="306"/>
      <c r="D226" s="464" t="s">
        <v>329</v>
      </c>
      <c r="J226" s="290"/>
      <c r="Q226" s="257"/>
      <c r="R226" s="255"/>
      <c r="S226" s="406"/>
      <c r="W226" s="274"/>
      <c r="X226" s="274"/>
      <c r="Y226" s="561" t="s">
        <v>353</v>
      </c>
      <c r="Z226" s="279"/>
      <c r="AA226" s="279"/>
      <c r="AB226" s="562"/>
      <c r="AC226" s="562"/>
      <c r="AD226" s="562"/>
      <c r="AE226" s="562"/>
      <c r="AF226" s="712"/>
      <c r="AG226" s="257"/>
      <c r="AI226" s="521"/>
      <c r="AJ226" s="522"/>
      <c r="AK226" s="522"/>
      <c r="AL226" s="522"/>
    </row>
    <row r="227" spans="2:40" ht="14.1" customHeight="1">
      <c r="B227" s="255"/>
      <c r="C227" s="415" t="s">
        <v>322</v>
      </c>
      <c r="D227" s="397" t="s">
        <v>330</v>
      </c>
      <c r="E227" s="279"/>
      <c r="F227" s="279"/>
      <c r="G227" s="279"/>
      <c r="H227" s="279"/>
      <c r="I227" s="279"/>
      <c r="J227" s="411" t="s">
        <v>422</v>
      </c>
      <c r="Q227" s="257"/>
      <c r="R227" s="255"/>
      <c r="T227" s="300" t="s">
        <v>301</v>
      </c>
      <c r="U227" s="231" t="s">
        <v>1</v>
      </c>
      <c r="V227" s="267">
        <f>IF(S221="Lettera a)",AI225,0)</f>
        <v>1600</v>
      </c>
      <c r="W227" s="274"/>
      <c r="X227" s="274"/>
      <c r="Y227" s="560" t="s">
        <v>284</v>
      </c>
      <c r="Z227" s="287"/>
      <c r="AA227" s="259"/>
      <c r="AB227" s="260"/>
      <c r="AC227" s="260"/>
      <c r="AD227" s="260"/>
      <c r="AE227" s="260"/>
      <c r="AF227" s="711">
        <f>AF222/2</f>
        <v>0</v>
      </c>
      <c r="AG227" s="257"/>
      <c r="AI227" s="315"/>
    </row>
    <row r="228" spans="2:40" ht="12.75" customHeight="1">
      <c r="B228" s="255"/>
      <c r="Q228" s="257"/>
      <c r="R228" s="255"/>
      <c r="W228" s="274"/>
      <c r="X228" s="274"/>
      <c r="Y228" s="561" t="s">
        <v>354</v>
      </c>
      <c r="Z228" s="562"/>
      <c r="AA228" s="562"/>
      <c r="AB228" s="562"/>
      <c r="AC228" s="562"/>
      <c r="AD228" s="562"/>
      <c r="AE228" s="562"/>
      <c r="AF228" s="712"/>
      <c r="AG228" s="257"/>
    </row>
    <row r="229" spans="2:40">
      <c r="B229" s="255"/>
      <c r="C229" s="306"/>
      <c r="D229" s="290" t="s">
        <v>331</v>
      </c>
      <c r="Q229" s="257"/>
      <c r="R229" s="255"/>
      <c r="T229" s="300" t="s">
        <v>422</v>
      </c>
      <c r="U229" s="231" t="s">
        <v>1</v>
      </c>
      <c r="V229" s="267">
        <f>IF(S221="Lettera a)",AB207,0)</f>
        <v>0</v>
      </c>
      <c r="W229" s="274"/>
      <c r="X229" s="274"/>
      <c r="AG229" s="257"/>
    </row>
    <row r="230" spans="2:40">
      <c r="B230" s="255"/>
      <c r="Q230" s="257"/>
      <c r="R230" s="255"/>
      <c r="W230" s="274"/>
      <c r="X230" s="274"/>
      <c r="AG230" s="257"/>
    </row>
    <row r="231" spans="2:40">
      <c r="B231" s="255"/>
      <c r="Q231" s="257"/>
      <c r="R231" s="255"/>
      <c r="T231" s="300" t="s">
        <v>21</v>
      </c>
      <c r="U231" s="231" t="s">
        <v>1</v>
      </c>
      <c r="V231" s="267">
        <f>V227+V229</f>
        <v>1600</v>
      </c>
      <c r="W231" s="274"/>
      <c r="X231" s="274"/>
      <c r="AG231" s="257"/>
      <c r="AJ231" s="294"/>
      <c r="AM231" s="296"/>
      <c r="AN231" s="296"/>
    </row>
    <row r="232" spans="2:40" ht="15">
      <c r="B232" s="255"/>
      <c r="Q232" s="257"/>
      <c r="R232" s="255"/>
      <c r="S232" s="406"/>
      <c r="T232" s="290"/>
      <c r="V232" s="414"/>
      <c r="X232" s="313"/>
      <c r="Y232" s="338"/>
      <c r="Z232" s="338"/>
      <c r="AA232" s="338"/>
      <c r="AB232" s="338"/>
      <c r="AC232" s="338"/>
      <c r="AD232" s="338"/>
      <c r="AE232" s="338"/>
      <c r="AF232" s="338"/>
      <c r="AG232" s="257"/>
      <c r="AM232" s="296"/>
      <c r="AN232" s="296"/>
    </row>
    <row r="233" spans="2:40" ht="15">
      <c r="B233" s="255"/>
      <c r="C233" s="306"/>
      <c r="D233" s="289"/>
      <c r="Q233" s="257"/>
      <c r="R233" s="255"/>
      <c r="S233" s="452" t="s">
        <v>357</v>
      </c>
      <c r="Y233" s="338"/>
      <c r="Z233" s="338"/>
      <c r="AA233" s="338"/>
      <c r="AB233" s="338"/>
      <c r="AC233" s="338"/>
      <c r="AD233" s="338"/>
      <c r="AE233" s="338"/>
      <c r="AF233" s="338"/>
      <c r="AG233" s="257"/>
      <c r="AM233" s="296"/>
      <c r="AN233" s="296"/>
    </row>
    <row r="234" spans="2:40" ht="15" customHeight="1">
      <c r="B234" s="255"/>
      <c r="C234" s="306"/>
      <c r="D234" s="289"/>
      <c r="Q234" s="257"/>
      <c r="R234" s="255"/>
      <c r="S234" s="452" t="s">
        <v>423</v>
      </c>
      <c r="Y234" s="338"/>
      <c r="Z234" s="338"/>
      <c r="AA234" s="338"/>
      <c r="AB234" s="338"/>
      <c r="AC234" s="338"/>
      <c r="AD234" s="338"/>
      <c r="AE234" s="338"/>
      <c r="AF234" s="338"/>
      <c r="AG234" s="257"/>
      <c r="AM234" s="296"/>
      <c r="AN234" s="296"/>
    </row>
    <row r="235" spans="2:40" ht="15">
      <c r="B235" s="255"/>
      <c r="C235" s="306"/>
      <c r="D235" s="289"/>
      <c r="Q235" s="257"/>
      <c r="R235" s="255"/>
      <c r="S235" s="452" t="s">
        <v>359</v>
      </c>
      <c r="Y235" s="338"/>
      <c r="Z235" s="338"/>
      <c r="AA235" s="338"/>
      <c r="AB235" s="338"/>
      <c r="AC235" s="338"/>
      <c r="AD235" s="338"/>
      <c r="AE235" s="338"/>
      <c r="AF235" s="338"/>
      <c r="AG235" s="257"/>
      <c r="AI235" s="314"/>
      <c r="AM235" s="296"/>
      <c r="AN235" s="296"/>
    </row>
    <row r="236" spans="2:40" ht="12.75" customHeight="1">
      <c r="B236" s="255"/>
      <c r="C236" s="306"/>
      <c r="D236" s="289"/>
      <c r="Q236" s="257"/>
      <c r="R236" s="255"/>
      <c r="S236" s="452" t="s">
        <v>360</v>
      </c>
      <c r="Y236" s="338"/>
      <c r="Z236" s="338"/>
      <c r="AA236" s="338"/>
      <c r="AB236" s="338"/>
      <c r="AC236" s="338"/>
      <c r="AD236" s="338"/>
      <c r="AE236" s="338"/>
      <c r="AF236" s="338"/>
      <c r="AG236" s="257"/>
      <c r="AM236" s="296"/>
      <c r="AN236" s="296"/>
    </row>
    <row r="237" spans="2:40" ht="12.75" customHeight="1">
      <c r="B237" s="255"/>
      <c r="C237" s="306"/>
      <c r="Q237" s="257"/>
      <c r="R237" s="255"/>
      <c r="Y237" s="338"/>
      <c r="Z237" s="338"/>
      <c r="AA237" s="338"/>
      <c r="AB237" s="338"/>
      <c r="AC237" s="338"/>
      <c r="AD237" s="338"/>
      <c r="AE237" s="338"/>
      <c r="AF237" s="338"/>
      <c r="AG237" s="257"/>
      <c r="AM237" s="296"/>
      <c r="AN237" s="296"/>
    </row>
    <row r="238" spans="2:40" ht="15">
      <c r="B238" s="255"/>
      <c r="C238" s="306"/>
      <c r="D238" s="289"/>
      <c r="Q238" s="257"/>
      <c r="R238" s="255"/>
      <c r="Y238" s="338"/>
      <c r="Z238" s="338"/>
      <c r="AA238" s="338"/>
      <c r="AB238" s="338"/>
      <c r="AC238" s="338"/>
      <c r="AD238" s="338"/>
      <c r="AE238" s="338"/>
      <c r="AF238" s="338"/>
      <c r="AG238" s="257"/>
      <c r="AM238" s="296"/>
      <c r="AN238" s="296"/>
    </row>
    <row r="239" spans="2:40" ht="12.75" customHeight="1">
      <c r="B239" s="255"/>
      <c r="C239" s="307"/>
      <c r="D239" s="299"/>
      <c r="Q239" s="257"/>
      <c r="R239" s="255"/>
      <c r="S239" s="248"/>
      <c r="T239" s="300" t="s">
        <v>424</v>
      </c>
      <c r="U239" s="231" t="s">
        <v>1</v>
      </c>
      <c r="V239" s="267">
        <f>IF(S221="Lettera a)",AF200,0)</f>
        <v>0</v>
      </c>
      <c r="Y239" s="338"/>
      <c r="Z239" s="338"/>
      <c r="AA239" s="338"/>
      <c r="AB239" s="338"/>
      <c r="AC239" s="338"/>
      <c r="AD239" s="338"/>
      <c r="AE239" s="338"/>
      <c r="AF239" s="338"/>
      <c r="AG239" s="257"/>
      <c r="AM239" s="296"/>
      <c r="AN239" s="296"/>
    </row>
    <row r="240" spans="2:40" ht="12.75" customHeight="1">
      <c r="B240" s="255"/>
      <c r="C240" s="307"/>
      <c r="D240" s="299"/>
      <c r="L240" s="489"/>
      <c r="Q240" s="257"/>
      <c r="R240" s="255"/>
      <c r="Y240" s="338"/>
      <c r="Z240" s="338"/>
      <c r="AA240" s="338"/>
      <c r="AB240" s="338"/>
      <c r="AC240" s="338"/>
      <c r="AD240" s="338"/>
      <c r="AE240" s="338"/>
      <c r="AF240" s="338"/>
      <c r="AG240" s="257"/>
      <c r="AM240" s="296"/>
      <c r="AN240" s="296"/>
    </row>
    <row r="241" spans="2:40" ht="12.75" customHeight="1">
      <c r="B241" s="255"/>
      <c r="C241" s="306"/>
      <c r="D241" s="289"/>
      <c r="Q241" s="257"/>
      <c r="R241" s="255"/>
      <c r="S241" s="452" t="s">
        <v>357</v>
      </c>
      <c r="X241" s="1"/>
      <c r="Y241" s="338"/>
      <c r="Z241" s="338"/>
      <c r="AA241" s="338"/>
      <c r="AB241" s="338"/>
      <c r="AC241" s="338"/>
      <c r="AD241" s="338"/>
      <c r="AE241" s="338"/>
      <c r="AF241" s="338"/>
      <c r="AG241" s="257"/>
      <c r="AM241" s="296"/>
      <c r="AN241" s="296"/>
    </row>
    <row r="242" spans="2:40" ht="14.1" customHeight="1">
      <c r="B242" s="255"/>
      <c r="Q242" s="257"/>
      <c r="R242" s="255"/>
      <c r="S242" s="452" t="s">
        <v>423</v>
      </c>
      <c r="X242" s="1"/>
      <c r="Y242" s="338"/>
      <c r="Z242" s="338"/>
      <c r="AA242" s="338"/>
      <c r="AB242" s="338"/>
      <c r="AC242" s="338"/>
      <c r="AD242" s="338"/>
      <c r="AE242" s="338"/>
      <c r="AF242" s="338"/>
      <c r="AG242" s="257"/>
      <c r="AM242" s="296"/>
      <c r="AN242" s="296"/>
    </row>
    <row r="243" spans="2:40" ht="15">
      <c r="B243" s="255"/>
      <c r="Q243" s="257"/>
      <c r="R243" s="255"/>
      <c r="S243" s="452" t="s">
        <v>359</v>
      </c>
      <c r="Y243" s="338"/>
      <c r="Z243" s="338"/>
      <c r="AA243" s="338"/>
      <c r="AB243" s="338"/>
      <c r="AC243" s="338"/>
      <c r="AD243" s="338"/>
      <c r="AE243" s="338"/>
      <c r="AF243" s="338"/>
      <c r="AG243" s="257"/>
      <c r="AM243" s="296"/>
      <c r="AN243" s="296"/>
    </row>
    <row r="244" spans="2:40" ht="14.1" customHeight="1">
      <c r="B244" s="255"/>
      <c r="Q244" s="257"/>
      <c r="R244" s="255"/>
      <c r="S244" s="452" t="s">
        <v>425</v>
      </c>
      <c r="X244" s="1"/>
      <c r="Y244" s="338"/>
      <c r="Z244" s="338"/>
      <c r="AA244" s="338"/>
      <c r="AB244" s="338"/>
      <c r="AC244" s="338"/>
      <c r="AD244" s="338"/>
      <c r="AE244" s="338"/>
      <c r="AF244" s="338"/>
      <c r="AG244" s="257"/>
      <c r="AM244" s="296"/>
      <c r="AN244" s="296"/>
    </row>
    <row r="245" spans="2:40" ht="12.75" customHeight="1">
      <c r="B245" s="255"/>
      <c r="Q245" s="257"/>
      <c r="R245" s="255"/>
      <c r="W245" s="1"/>
      <c r="X245" s="1"/>
      <c r="Y245" s="338"/>
      <c r="Z245" s="338"/>
      <c r="AA245" s="338"/>
      <c r="AB245" s="338"/>
      <c r="AC245" s="338"/>
      <c r="AD245" s="338"/>
      <c r="AE245" s="338"/>
      <c r="AF245" s="338"/>
      <c r="AG245" s="257"/>
      <c r="AM245" s="296"/>
      <c r="AN245" s="296"/>
    </row>
    <row r="246" spans="2:40" ht="14.1" customHeight="1">
      <c r="B246" s="255"/>
      <c r="Q246" s="257"/>
      <c r="R246" s="255"/>
      <c r="X246" s="1"/>
      <c r="Y246" s="338"/>
      <c r="Z246" s="338"/>
      <c r="AA246" s="338"/>
      <c r="AB246" s="338"/>
      <c r="AC246" s="338"/>
      <c r="AD246" s="338"/>
      <c r="AE246" s="338"/>
      <c r="AF246" s="338"/>
      <c r="AG246" s="257"/>
    </row>
    <row r="247" spans="2:40" ht="15">
      <c r="B247" s="255"/>
      <c r="Q247" s="257"/>
      <c r="R247" s="255"/>
      <c r="S247" s="248"/>
      <c r="T247" s="92" t="s">
        <v>21</v>
      </c>
      <c r="U247" s="162" t="s">
        <v>1</v>
      </c>
      <c r="V247" s="573">
        <f>V231+V239</f>
        <v>1600</v>
      </c>
      <c r="W247" s="126"/>
      <c r="X247" s="139" t="s">
        <v>571</v>
      </c>
      <c r="Y247" s="47"/>
      <c r="Z247" s="47"/>
      <c r="AA247" s="47"/>
      <c r="AB247" s="47"/>
      <c r="AC247" s="47"/>
      <c r="AD247" s="47"/>
      <c r="AE247" s="338"/>
      <c r="AF247" s="338"/>
      <c r="AG247" s="257"/>
    </row>
    <row r="248" spans="2:40" ht="12.75" customHeight="1">
      <c r="B248" s="255"/>
      <c r="Q248" s="257"/>
      <c r="R248" s="255"/>
      <c r="V248" s="1"/>
      <c r="Y248" s="248"/>
      <c r="Z248" s="274"/>
      <c r="AA248" s="274"/>
      <c r="AB248" s="274"/>
      <c r="AC248" s="274"/>
      <c r="AD248" s="274"/>
      <c r="AE248" s="274"/>
      <c r="AF248" s="326"/>
      <c r="AG248" s="257"/>
      <c r="AI248" s="308"/>
    </row>
    <row r="249" spans="2:40" ht="13.5" thickBot="1">
      <c r="B249" s="283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5"/>
      <c r="R249" s="283"/>
      <c r="S249" s="284"/>
      <c r="T249" s="284"/>
      <c r="U249" s="284"/>
      <c r="V249" s="284"/>
      <c r="W249" s="284"/>
      <c r="X249" s="284"/>
      <c r="Y249" s="284"/>
      <c r="Z249" s="284"/>
      <c r="AA249" s="284"/>
      <c r="AB249" s="284"/>
      <c r="AC249" s="284"/>
      <c r="AD249" s="284"/>
      <c r="AE249" s="284"/>
      <c r="AF249" s="284"/>
      <c r="AG249" s="285"/>
    </row>
    <row r="250" spans="2:40" ht="12.75" customHeight="1">
      <c r="B250" s="705" t="s">
        <v>680</v>
      </c>
      <c r="C250" s="706"/>
      <c r="D250" s="706"/>
      <c r="E250" s="706"/>
      <c r="F250" s="706"/>
      <c r="G250" s="706"/>
      <c r="H250" s="706"/>
      <c r="I250" s="706"/>
      <c r="J250" s="706"/>
      <c r="K250" s="706"/>
      <c r="L250" s="706"/>
      <c r="M250" s="706"/>
      <c r="N250" s="706"/>
      <c r="O250" s="706"/>
      <c r="P250" s="706"/>
      <c r="Q250" s="707"/>
      <c r="R250" s="705" t="s">
        <v>680</v>
      </c>
      <c r="S250" s="706"/>
      <c r="T250" s="706"/>
      <c r="U250" s="706"/>
      <c r="V250" s="706"/>
      <c r="W250" s="706"/>
      <c r="X250" s="706"/>
      <c r="Y250" s="706"/>
      <c r="Z250" s="706"/>
      <c r="AA250" s="706"/>
      <c r="AB250" s="706"/>
      <c r="AC250" s="706"/>
      <c r="AD250" s="706"/>
      <c r="AE250" s="706"/>
      <c r="AF250" s="707"/>
      <c r="AG250" s="696" t="s">
        <v>491</v>
      </c>
      <c r="AJ250" s="249"/>
      <c r="AK250" s="249"/>
    </row>
    <row r="251" spans="2:40" ht="12.75" customHeight="1">
      <c r="B251" s="708"/>
      <c r="C251" s="709"/>
      <c r="D251" s="709"/>
      <c r="E251" s="709"/>
      <c r="F251" s="709"/>
      <c r="G251" s="709"/>
      <c r="H251" s="709"/>
      <c r="I251" s="709"/>
      <c r="J251" s="709"/>
      <c r="K251" s="709"/>
      <c r="L251" s="709"/>
      <c r="M251" s="709"/>
      <c r="N251" s="709"/>
      <c r="O251" s="709"/>
      <c r="P251" s="709"/>
      <c r="Q251" s="710"/>
      <c r="R251" s="708"/>
      <c r="S251" s="709"/>
      <c r="T251" s="709"/>
      <c r="U251" s="709"/>
      <c r="V251" s="709"/>
      <c r="W251" s="709"/>
      <c r="X251" s="709"/>
      <c r="Y251" s="709"/>
      <c r="Z251" s="709"/>
      <c r="AA251" s="709"/>
      <c r="AB251" s="709"/>
      <c r="AC251" s="709"/>
      <c r="AD251" s="709"/>
      <c r="AE251" s="709"/>
      <c r="AF251" s="710"/>
      <c r="AG251" s="697"/>
      <c r="AJ251" s="317"/>
      <c r="AK251" s="249"/>
    </row>
    <row r="252" spans="2:40" ht="12.75" customHeight="1">
      <c r="B252" s="698" t="s">
        <v>350</v>
      </c>
      <c r="C252" s="699"/>
      <c r="D252" s="699"/>
      <c r="E252" s="699"/>
      <c r="F252" s="699"/>
      <c r="G252" s="699"/>
      <c r="H252" s="699"/>
      <c r="I252" s="699"/>
      <c r="J252" s="699"/>
      <c r="K252" s="699"/>
      <c r="L252" s="699"/>
      <c r="M252" s="699"/>
      <c r="N252" s="699"/>
      <c r="O252" s="699"/>
      <c r="P252" s="699"/>
      <c r="Q252" s="700"/>
      <c r="R252" s="698" t="s">
        <v>350</v>
      </c>
      <c r="S252" s="699"/>
      <c r="T252" s="699"/>
      <c r="U252" s="699"/>
      <c r="V252" s="699"/>
      <c r="W252" s="699"/>
      <c r="X252" s="699"/>
      <c r="Y252" s="699"/>
      <c r="Z252" s="699"/>
      <c r="AA252" s="699"/>
      <c r="AB252" s="699"/>
      <c r="AC252" s="699"/>
      <c r="AD252" s="699"/>
      <c r="AE252" s="699"/>
      <c r="AF252" s="700"/>
      <c r="AG252" s="697"/>
      <c r="AJ252" s="317"/>
      <c r="AK252" s="249"/>
    </row>
    <row r="253" spans="2:40" ht="13.5" customHeight="1" thickBot="1">
      <c r="B253" s="698"/>
      <c r="C253" s="699"/>
      <c r="D253" s="699"/>
      <c r="E253" s="699"/>
      <c r="F253" s="699"/>
      <c r="G253" s="699"/>
      <c r="H253" s="699"/>
      <c r="I253" s="699"/>
      <c r="J253" s="699"/>
      <c r="K253" s="699"/>
      <c r="L253" s="699"/>
      <c r="M253" s="699"/>
      <c r="N253" s="699"/>
      <c r="O253" s="699"/>
      <c r="P253" s="699"/>
      <c r="Q253" s="700"/>
      <c r="R253" s="701"/>
      <c r="S253" s="702"/>
      <c r="T253" s="702"/>
      <c r="U253" s="702"/>
      <c r="V253" s="702"/>
      <c r="W253" s="702"/>
      <c r="X253" s="702"/>
      <c r="Y253" s="702"/>
      <c r="Z253" s="702"/>
      <c r="AA253" s="702"/>
      <c r="AB253" s="702"/>
      <c r="AC253" s="702"/>
      <c r="AD253" s="702"/>
      <c r="AE253" s="702"/>
      <c r="AF253" s="703"/>
      <c r="AG253" s="704"/>
      <c r="AJ253" s="294"/>
      <c r="AK253" s="249"/>
    </row>
    <row r="254" spans="2:40" ht="15">
      <c r="B254" s="252"/>
      <c r="C254" s="253"/>
      <c r="D254" s="253"/>
      <c r="E254" s="253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304"/>
      <c r="Q254" s="293"/>
      <c r="R254" s="328"/>
      <c r="S254" s="329"/>
      <c r="T254" s="329"/>
      <c r="U254" s="329"/>
      <c r="V254" s="329"/>
      <c r="W254" s="329"/>
      <c r="X254" s="329"/>
      <c r="Y254" s="329"/>
      <c r="Z254" s="329"/>
      <c r="AA254" s="329"/>
      <c r="AB254" s="329"/>
      <c r="AC254" s="329"/>
      <c r="AD254" s="329"/>
      <c r="AE254" s="329"/>
      <c r="AF254" s="329"/>
      <c r="AG254" s="330"/>
      <c r="AJ254" s="294"/>
      <c r="AK254" s="249"/>
    </row>
    <row r="255" spans="2:40" ht="15">
      <c r="B255" s="255"/>
      <c r="D255" s="290" t="s">
        <v>589</v>
      </c>
      <c r="P255" s="305"/>
      <c r="Q255" s="297"/>
      <c r="R255" s="331"/>
      <c r="S255" s="327"/>
      <c r="T255" s="327"/>
      <c r="U255" s="327"/>
      <c r="V255" s="327"/>
      <c r="W255" s="327"/>
      <c r="X255" s="327"/>
      <c r="Y255" s="327"/>
      <c r="Z255" s="327"/>
      <c r="AA255" s="327"/>
      <c r="AB255" s="327"/>
      <c r="AC255" s="327"/>
      <c r="AD255" s="327"/>
      <c r="AE255" s="327"/>
      <c r="AF255" s="327"/>
      <c r="AG255" s="332"/>
      <c r="AJ255" s="294"/>
      <c r="AK255" s="249"/>
    </row>
    <row r="256" spans="2:40">
      <c r="B256" s="255"/>
      <c r="C256" s="306" t="s">
        <v>322</v>
      </c>
      <c r="D256" s="289" t="s">
        <v>427</v>
      </c>
      <c r="E256" s="256"/>
      <c r="F256" s="256"/>
      <c r="I256" s="256"/>
      <c r="J256" s="290" t="s">
        <v>323</v>
      </c>
      <c r="M256" s="216"/>
      <c r="O256" s="267"/>
      <c r="Q256" s="257"/>
      <c r="R256" s="255"/>
      <c r="AF256" s="296"/>
      <c r="AG256" s="297"/>
      <c r="AJ256" s="294"/>
      <c r="AK256" s="249"/>
    </row>
    <row r="257" spans="2:40">
      <c r="B257" s="255"/>
      <c r="C257" s="306" t="s">
        <v>322</v>
      </c>
      <c r="D257" s="289" t="s">
        <v>428</v>
      </c>
      <c r="J257" s="290" t="s">
        <v>324</v>
      </c>
      <c r="M257" s="299"/>
      <c r="Q257" s="257"/>
      <c r="R257" s="255"/>
      <c r="S257" s="290" t="s">
        <v>332</v>
      </c>
      <c r="X257" s="274"/>
      <c r="Y257" s="691" t="s">
        <v>607</v>
      </c>
      <c r="Z257" s="641"/>
      <c r="AA257" s="641"/>
      <c r="AB257" s="641"/>
      <c r="AC257" s="641"/>
      <c r="AD257" s="641"/>
      <c r="AE257" s="642"/>
      <c r="AF257" s="713" t="s">
        <v>125</v>
      </c>
      <c r="AG257" s="297"/>
      <c r="AI257" s="525" t="s">
        <v>128</v>
      </c>
      <c r="AJ257" s="294"/>
      <c r="AK257" s="249"/>
    </row>
    <row r="258" spans="2:40">
      <c r="B258" s="255"/>
      <c r="C258" s="306" t="s">
        <v>322</v>
      </c>
      <c r="D258" s="289" t="s">
        <v>325</v>
      </c>
      <c r="J258" s="290" t="s">
        <v>11</v>
      </c>
      <c r="Q258" s="257"/>
      <c r="R258" s="255"/>
      <c r="X258" s="274"/>
      <c r="Y258" s="692"/>
      <c r="Z258" s="693"/>
      <c r="AA258" s="693"/>
      <c r="AB258" s="693"/>
      <c r="AC258" s="693"/>
      <c r="AD258" s="693"/>
      <c r="AE258" s="694"/>
      <c r="AF258" s="714"/>
      <c r="AG258" s="257"/>
      <c r="AI258" s="525" t="s">
        <v>125</v>
      </c>
      <c r="AJ258" s="294"/>
      <c r="AK258" s="249"/>
    </row>
    <row r="259" spans="2:40" ht="15">
      <c r="B259" s="255"/>
      <c r="C259" s="306" t="s">
        <v>322</v>
      </c>
      <c r="D259" s="289" t="s">
        <v>326</v>
      </c>
      <c r="F259" s="256"/>
      <c r="J259" s="290" t="s">
        <v>12</v>
      </c>
      <c r="K259" s="256"/>
      <c r="N259" s="216"/>
      <c r="P259" s="267"/>
      <c r="Q259" s="257"/>
      <c r="R259" s="255"/>
      <c r="S259" s="634" t="str">
        <f>AA182</f>
        <v>Lettera a)</v>
      </c>
      <c r="T259" s="634"/>
      <c r="U259" s="634"/>
      <c r="V259" s="299" t="s">
        <v>562</v>
      </c>
      <c r="X259" s="274"/>
      <c r="Y259" s="715" t="s">
        <v>608</v>
      </c>
      <c r="Z259" s="716"/>
      <c r="AA259" s="716"/>
      <c r="AB259" s="716"/>
      <c r="AC259" s="716"/>
      <c r="AD259" s="716"/>
      <c r="AE259" s="716"/>
      <c r="AF259" s="717"/>
      <c r="AG259" s="257"/>
      <c r="AI259" s="525"/>
      <c r="AJ259" s="294"/>
      <c r="AK259" s="249"/>
    </row>
    <row r="260" spans="2:40">
      <c r="B260" s="255"/>
      <c r="C260" s="415" t="s">
        <v>322</v>
      </c>
      <c r="D260" s="397" t="s">
        <v>327</v>
      </c>
      <c r="E260" s="279"/>
      <c r="F260" s="280"/>
      <c r="G260" s="279"/>
      <c r="H260" s="279"/>
      <c r="I260" s="279"/>
      <c r="J260" s="411" t="s">
        <v>328</v>
      </c>
      <c r="N260" s="299"/>
      <c r="Q260" s="257"/>
      <c r="R260" s="255"/>
      <c r="W260" s="324"/>
      <c r="X260" s="274"/>
      <c r="Y260" s="560" t="s">
        <v>311</v>
      </c>
      <c r="Z260" s="287"/>
      <c r="AA260" s="259"/>
      <c r="AB260" s="287"/>
      <c r="AC260" s="260"/>
      <c r="AD260" s="287"/>
      <c r="AE260" s="260"/>
      <c r="AF260" s="711">
        <f>IF(V269&lt;5000.01,0,AI261)</f>
        <v>0</v>
      </c>
      <c r="AG260" s="257"/>
      <c r="AI260" s="525"/>
    </row>
    <row r="261" spans="2:40" ht="14.1" customHeight="1">
      <c r="B261" s="255"/>
      <c r="Q261" s="257"/>
      <c r="R261" s="255"/>
      <c r="T261" s="340" t="str">
        <f>IF(S259="Lettera a)",AI296,IF(S259="Lettera c)",AI298," "))</f>
        <v>Vai a pag. 7/9</v>
      </c>
      <c r="X261" s="274"/>
      <c r="Y261" s="561" t="s">
        <v>355</v>
      </c>
      <c r="Z261" s="279"/>
      <c r="AA261" s="279"/>
      <c r="AB261" s="562"/>
      <c r="AC261" s="562"/>
      <c r="AD261" s="279"/>
      <c r="AE261" s="562"/>
      <c r="AF261" s="712"/>
      <c r="AG261" s="257"/>
      <c r="AI261" s="521">
        <f>IF(AF257="NO",0,V269/2)</f>
        <v>0</v>
      </c>
    </row>
    <row r="262" spans="2:40">
      <c r="B262" s="255"/>
      <c r="C262" s="415" t="s">
        <v>322</v>
      </c>
      <c r="D262" s="397" t="s">
        <v>429</v>
      </c>
      <c r="E262" s="279"/>
      <c r="F262" s="280"/>
      <c r="G262" s="279"/>
      <c r="H262" s="279"/>
      <c r="I262" s="279"/>
      <c r="J262" s="411" t="s">
        <v>424</v>
      </c>
      <c r="K262" s="256"/>
      <c r="Q262" s="257"/>
      <c r="R262" s="255"/>
      <c r="X262" s="274"/>
      <c r="Y262" s="563"/>
      <c r="AB262" s="274"/>
      <c r="AC262" s="274"/>
      <c r="AE262" s="65" t="s">
        <v>312</v>
      </c>
      <c r="AF262" s="316">
        <f>AF260</f>
        <v>0</v>
      </c>
      <c r="AG262" s="257"/>
      <c r="AI262" s="525"/>
    </row>
    <row r="263" spans="2:40" ht="14.1" customHeight="1">
      <c r="B263" s="255"/>
      <c r="Q263" s="257"/>
      <c r="R263" s="255"/>
      <c r="T263" s="290"/>
      <c r="V263" s="274"/>
      <c r="W263" s="274"/>
      <c r="X263" s="274"/>
      <c r="Y263" s="560" t="s">
        <v>283</v>
      </c>
      <c r="Z263" s="287"/>
      <c r="AA263" s="259"/>
      <c r="AB263" s="260"/>
      <c r="AC263" s="260"/>
      <c r="AD263" s="260"/>
      <c r="AE263" s="260"/>
      <c r="AF263" s="711">
        <f>AF260/2</f>
        <v>0</v>
      </c>
      <c r="AG263" s="257"/>
      <c r="AI263" s="521">
        <f>AB193+AB194</f>
        <v>0</v>
      </c>
      <c r="AJ263" s="314"/>
    </row>
    <row r="264" spans="2:40" ht="12.75" customHeight="1">
      <c r="B264" s="255"/>
      <c r="C264" s="306"/>
      <c r="D264" s="464" t="s">
        <v>329</v>
      </c>
      <c r="J264" s="290"/>
      <c r="Q264" s="257"/>
      <c r="R264" s="255"/>
      <c r="S264" s="406"/>
      <c r="T264" s="290"/>
      <c r="V264" s="274"/>
      <c r="W264" s="274"/>
      <c r="X264" s="274"/>
      <c r="Y264" s="561" t="s">
        <v>353</v>
      </c>
      <c r="Z264" s="279"/>
      <c r="AA264" s="279"/>
      <c r="AB264" s="562"/>
      <c r="AC264" s="562"/>
      <c r="AD264" s="562"/>
      <c r="AE264" s="562"/>
      <c r="AF264" s="712"/>
      <c r="AG264" s="257"/>
      <c r="AI264" s="521"/>
    </row>
    <row r="265" spans="2:40" ht="14.1" customHeight="1">
      <c r="B265" s="255"/>
      <c r="C265" s="415" t="s">
        <v>322</v>
      </c>
      <c r="D265" s="397" t="s">
        <v>330</v>
      </c>
      <c r="E265" s="279"/>
      <c r="F265" s="279"/>
      <c r="G265" s="279"/>
      <c r="H265" s="279"/>
      <c r="I265" s="279"/>
      <c r="J265" s="411" t="s">
        <v>422</v>
      </c>
      <c r="Q265" s="257"/>
      <c r="R265" s="255"/>
      <c r="T265" s="300" t="s">
        <v>301</v>
      </c>
      <c r="U265" s="231" t="s">
        <v>1</v>
      </c>
      <c r="V265" s="267">
        <f>IF(S259="Lettera b)",AI263,0)</f>
        <v>0</v>
      </c>
      <c r="W265" s="274"/>
      <c r="X265" s="274"/>
      <c r="Y265" s="560" t="s">
        <v>284</v>
      </c>
      <c r="Z265" s="287"/>
      <c r="AA265" s="259"/>
      <c r="AB265" s="260"/>
      <c r="AC265" s="260"/>
      <c r="AD265" s="260"/>
      <c r="AE265" s="260"/>
      <c r="AF265" s="711">
        <f>AF260/2</f>
        <v>0</v>
      </c>
      <c r="AG265" s="257"/>
      <c r="AI265" s="315"/>
    </row>
    <row r="266" spans="2:40" ht="12.75" customHeight="1">
      <c r="B266" s="255"/>
      <c r="Q266" s="257"/>
      <c r="R266" s="255"/>
      <c r="W266" s="274"/>
      <c r="X266" s="274"/>
      <c r="Y266" s="561" t="s">
        <v>354</v>
      </c>
      <c r="Z266" s="562"/>
      <c r="AA266" s="562"/>
      <c r="AB266" s="562"/>
      <c r="AC266" s="562"/>
      <c r="AD266" s="562"/>
      <c r="AE266" s="562"/>
      <c r="AF266" s="712"/>
      <c r="AG266" s="257"/>
    </row>
    <row r="267" spans="2:40">
      <c r="B267" s="255"/>
      <c r="C267" s="306"/>
      <c r="D267" s="290" t="s">
        <v>331</v>
      </c>
      <c r="Q267" s="257"/>
      <c r="R267" s="255"/>
      <c r="T267" s="300" t="s">
        <v>422</v>
      </c>
      <c r="U267" s="231" t="s">
        <v>1</v>
      </c>
      <c r="V267" s="267">
        <f>IF(S259="Lettera b)",AB207,0)</f>
        <v>0</v>
      </c>
      <c r="W267" s="274"/>
      <c r="X267" s="274"/>
      <c r="AG267" s="257"/>
    </row>
    <row r="268" spans="2:40">
      <c r="B268" s="255"/>
      <c r="Q268" s="257"/>
      <c r="R268" s="255"/>
      <c r="W268" s="274"/>
      <c r="X268" s="274"/>
      <c r="AG268" s="257"/>
      <c r="AL268" s="231"/>
      <c r="AM268" s="296"/>
      <c r="AN268" s="296"/>
    </row>
    <row r="269" spans="2:40">
      <c r="B269" s="255"/>
      <c r="Q269" s="257"/>
      <c r="R269" s="255"/>
      <c r="T269" s="300" t="s">
        <v>21</v>
      </c>
      <c r="U269" s="231" t="s">
        <v>1</v>
      </c>
      <c r="V269" s="267">
        <f>V265+V267</f>
        <v>0</v>
      </c>
      <c r="W269" s="274"/>
      <c r="X269" s="274"/>
      <c r="AG269" s="257"/>
      <c r="AJ269" s="294"/>
      <c r="AL269" s="231"/>
      <c r="AM269" s="296"/>
      <c r="AN269" s="296"/>
    </row>
    <row r="270" spans="2:40" ht="15">
      <c r="B270" s="255"/>
      <c r="Q270" s="257"/>
      <c r="R270" s="255"/>
      <c r="S270" s="406"/>
      <c r="T270" s="290"/>
      <c r="V270" s="414"/>
      <c r="X270" s="313"/>
      <c r="Y270" s="325"/>
      <c r="Z270" s="338"/>
      <c r="AA270" s="338"/>
      <c r="AB270" s="338"/>
      <c r="AC270" s="338"/>
      <c r="AD270" s="338"/>
      <c r="AE270" s="338"/>
      <c r="AF270" s="338"/>
      <c r="AG270" s="257"/>
      <c r="AL270" s="231"/>
      <c r="AM270" s="296"/>
      <c r="AN270" s="296"/>
    </row>
    <row r="271" spans="2:40" ht="15">
      <c r="B271" s="255"/>
      <c r="C271" s="306"/>
      <c r="D271" s="289"/>
      <c r="Q271" s="257"/>
      <c r="R271" s="255"/>
      <c r="S271" s="452" t="s">
        <v>357</v>
      </c>
      <c r="Y271" s="325"/>
      <c r="Z271" s="338"/>
      <c r="AA271" s="338"/>
      <c r="AB271" s="338"/>
      <c r="AC271" s="338"/>
      <c r="AD271" s="338"/>
      <c r="AE271" s="338"/>
      <c r="AF271" s="338"/>
      <c r="AG271" s="257"/>
      <c r="AI271" s="314"/>
      <c r="AJ271" s="314"/>
      <c r="AL271" s="231"/>
      <c r="AM271" s="296"/>
      <c r="AN271" s="296"/>
    </row>
    <row r="272" spans="2:40" ht="15">
      <c r="B272" s="255"/>
      <c r="C272" s="306"/>
      <c r="D272" s="289"/>
      <c r="Q272" s="257"/>
      <c r="R272" s="255"/>
      <c r="S272" s="452" t="s">
        <v>358</v>
      </c>
      <c r="Y272" s="325"/>
      <c r="Z272" s="338"/>
      <c r="AA272" s="338"/>
      <c r="AB272" s="338"/>
      <c r="AC272" s="338"/>
      <c r="AD272" s="338"/>
      <c r="AE272" s="338"/>
      <c r="AF272" s="338"/>
      <c r="AG272" s="257"/>
      <c r="AI272" s="314"/>
      <c r="AL272" s="231"/>
      <c r="AM272" s="296"/>
      <c r="AN272" s="296"/>
    </row>
    <row r="273" spans="2:40" ht="12.75" customHeight="1">
      <c r="B273" s="255"/>
      <c r="C273" s="306"/>
      <c r="D273" s="289"/>
      <c r="Q273" s="257"/>
      <c r="R273" s="255"/>
      <c r="S273" s="452" t="s">
        <v>359</v>
      </c>
      <c r="Y273" s="325"/>
      <c r="Z273" s="338"/>
      <c r="AA273" s="338"/>
      <c r="AB273" s="338"/>
      <c r="AC273" s="338"/>
      <c r="AD273" s="338"/>
      <c r="AE273" s="338"/>
      <c r="AF273" s="338"/>
      <c r="AG273" s="257"/>
      <c r="AI273" s="314"/>
      <c r="AL273" s="231"/>
      <c r="AM273" s="296"/>
      <c r="AN273" s="296"/>
    </row>
    <row r="274" spans="2:40" ht="12.75" customHeight="1">
      <c r="B274" s="255"/>
      <c r="C274" s="306"/>
      <c r="D274" s="289"/>
      <c r="Q274" s="257"/>
      <c r="R274" s="255"/>
      <c r="S274" s="452" t="s">
        <v>360</v>
      </c>
      <c r="Y274" s="325"/>
      <c r="Z274" s="338"/>
      <c r="AA274" s="338"/>
      <c r="AB274" s="338"/>
      <c r="AC274" s="338"/>
      <c r="AD274" s="338"/>
      <c r="AE274" s="338"/>
      <c r="AF274" s="338"/>
      <c r="AG274" s="257"/>
      <c r="AL274" s="231"/>
      <c r="AM274" s="296"/>
      <c r="AN274" s="296"/>
    </row>
    <row r="275" spans="2:40" ht="12.75" customHeight="1">
      <c r="B275" s="255"/>
      <c r="C275" s="306"/>
      <c r="Q275" s="257"/>
      <c r="R275" s="255"/>
      <c r="Y275" s="325"/>
      <c r="Z275" s="338"/>
      <c r="AA275" s="338"/>
      <c r="AB275" s="338"/>
      <c r="AC275" s="338"/>
      <c r="AD275" s="338"/>
      <c r="AE275" s="338"/>
      <c r="AF275" s="338"/>
      <c r="AG275" s="257"/>
      <c r="AL275" s="231"/>
      <c r="AM275" s="296"/>
      <c r="AN275" s="296"/>
    </row>
    <row r="276" spans="2:40" ht="12.75" customHeight="1">
      <c r="B276" s="255"/>
      <c r="C276" s="306"/>
      <c r="D276" s="289"/>
      <c r="Q276" s="257"/>
      <c r="R276" s="255"/>
      <c r="Y276" s="325"/>
      <c r="Z276" s="338"/>
      <c r="AA276" s="338"/>
      <c r="AB276" s="338"/>
      <c r="AC276" s="338"/>
      <c r="AD276" s="338"/>
      <c r="AE276" s="338"/>
      <c r="AF276" s="338"/>
      <c r="AG276" s="257"/>
      <c r="AL276" s="231"/>
      <c r="AM276" s="296"/>
      <c r="AN276" s="296"/>
    </row>
    <row r="277" spans="2:40" ht="12.75" customHeight="1">
      <c r="B277" s="255"/>
      <c r="C277" s="307"/>
      <c r="D277" s="299"/>
      <c r="Q277" s="257"/>
      <c r="R277" s="255"/>
      <c r="S277" s="248"/>
      <c r="T277" s="300" t="s">
        <v>424</v>
      </c>
      <c r="U277" s="231" t="s">
        <v>1</v>
      </c>
      <c r="V277" s="267">
        <f>IF(S259="Lettera b)",AF200,0)</f>
        <v>0</v>
      </c>
      <c r="Y277" s="325"/>
      <c r="Z277" s="338"/>
      <c r="AA277" s="338"/>
      <c r="AB277" s="338"/>
      <c r="AC277" s="338"/>
      <c r="AD277" s="338"/>
      <c r="AE277" s="338"/>
      <c r="AF277" s="338"/>
      <c r="AG277" s="257"/>
      <c r="AL277" s="231"/>
      <c r="AM277" s="296"/>
      <c r="AN277" s="296"/>
    </row>
    <row r="278" spans="2:40" ht="12.75" customHeight="1">
      <c r="B278" s="255"/>
      <c r="C278" s="307"/>
      <c r="D278" s="299"/>
      <c r="L278" s="489"/>
      <c r="Q278" s="257"/>
      <c r="R278" s="255"/>
      <c r="Y278" s="325"/>
      <c r="Z278" s="338"/>
      <c r="AA278" s="338"/>
      <c r="AB278" s="338"/>
      <c r="AC278" s="338"/>
      <c r="AD278" s="338"/>
      <c r="AE278" s="338"/>
      <c r="AF278" s="338"/>
      <c r="AG278" s="257"/>
      <c r="AL278" s="231"/>
      <c r="AM278" s="296"/>
      <c r="AN278" s="296"/>
    </row>
    <row r="279" spans="2:40" ht="12.75" customHeight="1">
      <c r="B279" s="255"/>
      <c r="C279" s="306"/>
      <c r="D279" s="289"/>
      <c r="Q279" s="257"/>
      <c r="R279" s="255"/>
      <c r="S279" s="452" t="s">
        <v>357</v>
      </c>
      <c r="X279" s="1"/>
      <c r="Y279" s="325"/>
      <c r="Z279" s="338"/>
      <c r="AA279" s="338"/>
      <c r="AB279" s="338"/>
      <c r="AC279" s="338"/>
      <c r="AD279" s="338"/>
      <c r="AE279" s="338"/>
      <c r="AF279" s="338"/>
      <c r="AG279" s="257"/>
      <c r="AL279" s="231"/>
      <c r="AM279" s="296"/>
      <c r="AN279" s="296"/>
    </row>
    <row r="280" spans="2:40" ht="14.1" customHeight="1">
      <c r="B280" s="255"/>
      <c r="Q280" s="257"/>
      <c r="R280" s="255"/>
      <c r="S280" s="452" t="s">
        <v>423</v>
      </c>
      <c r="X280" s="1"/>
      <c r="Y280" s="325"/>
      <c r="Z280" s="338"/>
      <c r="AA280" s="338"/>
      <c r="AB280" s="338"/>
      <c r="AC280" s="338"/>
      <c r="AD280" s="338"/>
      <c r="AE280" s="338"/>
      <c r="AF280" s="338"/>
      <c r="AG280" s="257"/>
      <c r="AL280" s="231"/>
      <c r="AM280" s="296"/>
      <c r="AN280" s="296"/>
    </row>
    <row r="281" spans="2:40" ht="15">
      <c r="B281" s="255"/>
      <c r="Q281" s="257"/>
      <c r="R281" s="255"/>
      <c r="S281" s="452" t="s">
        <v>359</v>
      </c>
      <c r="Y281" s="338"/>
      <c r="Z281" s="338"/>
      <c r="AA281" s="338"/>
      <c r="AB281" s="338"/>
      <c r="AC281" s="338"/>
      <c r="AD281" s="338"/>
      <c r="AE281" s="338"/>
      <c r="AF281" s="338"/>
      <c r="AG281" s="257"/>
      <c r="AL281" s="231"/>
      <c r="AM281" s="296"/>
      <c r="AN281" s="296"/>
    </row>
    <row r="282" spans="2:40" ht="14.1" customHeight="1">
      <c r="B282" s="255"/>
      <c r="Q282" s="257"/>
      <c r="R282" s="255"/>
      <c r="S282" s="452" t="s">
        <v>425</v>
      </c>
      <c r="X282" s="1"/>
      <c r="Y282" s="338"/>
      <c r="Z282" s="338"/>
      <c r="AA282" s="338"/>
      <c r="AB282" s="338"/>
      <c r="AC282" s="338"/>
      <c r="AD282" s="338"/>
      <c r="AE282" s="338"/>
      <c r="AF282" s="338"/>
      <c r="AG282" s="257"/>
      <c r="AL282" s="231"/>
      <c r="AM282" s="296"/>
      <c r="AN282" s="296"/>
    </row>
    <row r="283" spans="2:40" ht="12.75" customHeight="1">
      <c r="B283" s="255"/>
      <c r="Q283" s="257"/>
      <c r="R283" s="255"/>
      <c r="T283" s="402"/>
      <c r="V283" s="1"/>
      <c r="W283" s="1"/>
      <c r="X283" s="1"/>
      <c r="Y283" s="338"/>
      <c r="Z283" s="338"/>
      <c r="AA283" s="338"/>
      <c r="AB283" s="338"/>
      <c r="AC283" s="338"/>
      <c r="AD283" s="338"/>
      <c r="AE283" s="338"/>
      <c r="AF283" s="338"/>
      <c r="AG283" s="257"/>
      <c r="AL283" s="231"/>
      <c r="AM283" s="296"/>
      <c r="AN283" s="296"/>
    </row>
    <row r="284" spans="2:40" ht="14.1" customHeight="1">
      <c r="B284" s="255"/>
      <c r="Q284" s="257"/>
      <c r="R284" s="255"/>
      <c r="S284" s="248"/>
      <c r="T284" s="402"/>
      <c r="V284" s="1"/>
      <c r="X284" s="1"/>
      <c r="Y284" s="338"/>
      <c r="Z284" s="338"/>
      <c r="AA284" s="338"/>
      <c r="AB284" s="338"/>
      <c r="AC284" s="338"/>
      <c r="AD284" s="338"/>
      <c r="AE284" s="338"/>
      <c r="AF284" s="338"/>
      <c r="AG284" s="257"/>
      <c r="AL284" s="231"/>
      <c r="AM284" s="296"/>
      <c r="AN284" s="296"/>
    </row>
    <row r="285" spans="2:40" ht="15">
      <c r="B285" s="255"/>
      <c r="Q285" s="257"/>
      <c r="R285" s="255"/>
      <c r="S285" s="248"/>
      <c r="T285" s="300" t="s">
        <v>21</v>
      </c>
      <c r="U285" s="231" t="s">
        <v>1</v>
      </c>
      <c r="V285" s="267">
        <f>V269+V277</f>
        <v>0</v>
      </c>
      <c r="W285" s="1"/>
      <c r="X285" s="139" t="s">
        <v>571</v>
      </c>
      <c r="Y285" s="338"/>
      <c r="Z285" s="338"/>
      <c r="AA285" s="338"/>
      <c r="AB285" s="338"/>
      <c r="AC285" s="338"/>
      <c r="AD285" s="338"/>
      <c r="AE285" s="338"/>
      <c r="AF285" s="338"/>
      <c r="AG285" s="257"/>
    </row>
    <row r="286" spans="2:40" ht="12.75" customHeight="1">
      <c r="B286" s="255"/>
      <c r="Q286" s="257"/>
      <c r="R286" s="255"/>
      <c r="V286" s="1"/>
      <c r="Y286" s="248"/>
      <c r="Z286" s="274"/>
      <c r="AA286" s="274"/>
      <c r="AB286" s="274"/>
      <c r="AC286" s="274"/>
      <c r="AD286" s="274"/>
      <c r="AE286" s="274"/>
      <c r="AF286" s="326"/>
      <c r="AG286" s="257"/>
      <c r="AI286" s="308"/>
    </row>
    <row r="287" spans="2:40" ht="13.5" thickBot="1">
      <c r="B287" s="283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5"/>
      <c r="R287" s="283"/>
      <c r="S287" s="284"/>
      <c r="T287" s="284"/>
      <c r="U287" s="284"/>
      <c r="V287" s="284"/>
      <c r="W287" s="284"/>
      <c r="X287" s="284"/>
      <c r="Y287" s="284"/>
      <c r="Z287" s="284"/>
      <c r="AA287" s="284"/>
      <c r="AB287" s="284"/>
      <c r="AC287" s="284"/>
      <c r="AD287" s="284"/>
      <c r="AE287" s="284"/>
      <c r="AF287" s="284"/>
      <c r="AG287" s="285"/>
    </row>
    <row r="288" spans="2:40" ht="12.75" customHeight="1">
      <c r="B288" s="705" t="s">
        <v>680</v>
      </c>
      <c r="C288" s="706"/>
      <c r="D288" s="706"/>
      <c r="E288" s="706"/>
      <c r="F288" s="706"/>
      <c r="G288" s="706"/>
      <c r="H288" s="706"/>
      <c r="I288" s="706"/>
      <c r="J288" s="706"/>
      <c r="K288" s="706"/>
      <c r="L288" s="706"/>
      <c r="M288" s="706"/>
      <c r="N288" s="706"/>
      <c r="O288" s="706"/>
      <c r="P288" s="706"/>
      <c r="Q288" s="707"/>
      <c r="R288" s="705" t="s">
        <v>680</v>
      </c>
      <c r="S288" s="706"/>
      <c r="T288" s="706"/>
      <c r="U288" s="706"/>
      <c r="V288" s="706"/>
      <c r="W288" s="706"/>
      <c r="X288" s="706"/>
      <c r="Y288" s="706"/>
      <c r="Z288" s="706"/>
      <c r="AA288" s="706"/>
      <c r="AB288" s="706"/>
      <c r="AC288" s="706"/>
      <c r="AD288" s="706"/>
      <c r="AE288" s="706"/>
      <c r="AF288" s="707"/>
      <c r="AG288" s="696" t="s">
        <v>492</v>
      </c>
      <c r="AJ288" s="249"/>
      <c r="AK288" s="249"/>
    </row>
    <row r="289" spans="2:37" ht="12.75" customHeight="1">
      <c r="B289" s="708"/>
      <c r="C289" s="709"/>
      <c r="D289" s="709"/>
      <c r="E289" s="709"/>
      <c r="F289" s="709"/>
      <c r="G289" s="709"/>
      <c r="H289" s="709"/>
      <c r="I289" s="709"/>
      <c r="J289" s="709"/>
      <c r="K289" s="709"/>
      <c r="L289" s="709"/>
      <c r="M289" s="709"/>
      <c r="N289" s="709"/>
      <c r="O289" s="709"/>
      <c r="P289" s="709"/>
      <c r="Q289" s="710"/>
      <c r="R289" s="708"/>
      <c r="S289" s="709"/>
      <c r="T289" s="709"/>
      <c r="U289" s="709"/>
      <c r="V289" s="709"/>
      <c r="W289" s="709"/>
      <c r="X289" s="709"/>
      <c r="Y289" s="709"/>
      <c r="Z289" s="709"/>
      <c r="AA289" s="709"/>
      <c r="AB289" s="709"/>
      <c r="AC289" s="709"/>
      <c r="AD289" s="709"/>
      <c r="AE289" s="709"/>
      <c r="AF289" s="710"/>
      <c r="AG289" s="697"/>
      <c r="AJ289" s="317"/>
      <c r="AK289" s="249"/>
    </row>
    <row r="290" spans="2:37" ht="12.75" customHeight="1">
      <c r="B290" s="698" t="s">
        <v>351</v>
      </c>
      <c r="C290" s="699"/>
      <c r="D290" s="699"/>
      <c r="E290" s="699"/>
      <c r="F290" s="699"/>
      <c r="G290" s="699"/>
      <c r="H290" s="699"/>
      <c r="I290" s="699"/>
      <c r="J290" s="699"/>
      <c r="K290" s="699"/>
      <c r="L290" s="699"/>
      <c r="M290" s="699"/>
      <c r="N290" s="699"/>
      <c r="O290" s="699"/>
      <c r="P290" s="699"/>
      <c r="Q290" s="700"/>
      <c r="R290" s="698" t="s">
        <v>351</v>
      </c>
      <c r="S290" s="699"/>
      <c r="T290" s="699"/>
      <c r="U290" s="699"/>
      <c r="V290" s="699"/>
      <c r="W290" s="699"/>
      <c r="X290" s="699"/>
      <c r="Y290" s="699"/>
      <c r="Z290" s="699"/>
      <c r="AA290" s="699"/>
      <c r="AB290" s="699"/>
      <c r="AC290" s="699"/>
      <c r="AD290" s="699"/>
      <c r="AE290" s="699"/>
      <c r="AF290" s="700"/>
      <c r="AG290" s="697"/>
      <c r="AJ290" s="317"/>
      <c r="AK290" s="249"/>
    </row>
    <row r="291" spans="2:37" ht="13.5" customHeight="1" thickBot="1">
      <c r="B291" s="701"/>
      <c r="C291" s="702"/>
      <c r="D291" s="702"/>
      <c r="E291" s="702"/>
      <c r="F291" s="702"/>
      <c r="G291" s="702"/>
      <c r="H291" s="702"/>
      <c r="I291" s="702"/>
      <c r="J291" s="702"/>
      <c r="K291" s="702"/>
      <c r="L291" s="702"/>
      <c r="M291" s="702"/>
      <c r="N291" s="702"/>
      <c r="O291" s="702"/>
      <c r="P291" s="702"/>
      <c r="Q291" s="703"/>
      <c r="R291" s="698"/>
      <c r="S291" s="699"/>
      <c r="T291" s="699"/>
      <c r="U291" s="699"/>
      <c r="V291" s="699"/>
      <c r="W291" s="699"/>
      <c r="X291" s="699"/>
      <c r="Y291" s="699"/>
      <c r="Z291" s="699"/>
      <c r="AA291" s="699"/>
      <c r="AB291" s="699"/>
      <c r="AC291" s="699"/>
      <c r="AD291" s="699"/>
      <c r="AE291" s="699"/>
      <c r="AF291" s="700"/>
      <c r="AG291" s="697"/>
      <c r="AJ291" s="294"/>
      <c r="AK291" s="249"/>
    </row>
    <row r="292" spans="2:37" ht="15">
      <c r="B292" s="255"/>
      <c r="G292" s="256"/>
      <c r="I292" s="256"/>
      <c r="P292" s="305"/>
      <c r="Q292" s="296"/>
      <c r="R292" s="328"/>
      <c r="S292" s="329"/>
      <c r="T292" s="329"/>
      <c r="U292" s="329"/>
      <c r="V292" s="329"/>
      <c r="W292" s="329"/>
      <c r="X292" s="329"/>
      <c r="Y292" s="329"/>
      <c r="Z292" s="329"/>
      <c r="AA292" s="329"/>
      <c r="AB292" s="329"/>
      <c r="AC292" s="329"/>
      <c r="AD292" s="329"/>
      <c r="AE292" s="329"/>
      <c r="AF292" s="329"/>
      <c r="AG292" s="330"/>
      <c r="AJ292" s="294"/>
      <c r="AK292" s="249"/>
    </row>
    <row r="293" spans="2:37" ht="15">
      <c r="B293" s="255"/>
      <c r="D293" s="290" t="s">
        <v>588</v>
      </c>
      <c r="M293" s="216"/>
      <c r="O293" s="267"/>
      <c r="R293" s="255"/>
      <c r="X293" s="327"/>
      <c r="Y293" s="327"/>
      <c r="Z293" s="327"/>
      <c r="AA293" s="327"/>
      <c r="AB293" s="327"/>
      <c r="AC293" s="327"/>
      <c r="AD293" s="327"/>
      <c r="AE293" s="327"/>
      <c r="AF293" s="327"/>
      <c r="AG293" s="297"/>
      <c r="AJ293" s="294"/>
      <c r="AK293" s="249"/>
    </row>
    <row r="294" spans="2:37" ht="15">
      <c r="B294" s="255"/>
      <c r="D294" s="289" t="s">
        <v>572</v>
      </c>
      <c r="E294" s="289"/>
      <c r="F294" s="289"/>
      <c r="G294" s="289"/>
      <c r="H294" s="289"/>
      <c r="I294" s="289"/>
      <c r="J294" s="289"/>
      <c r="M294" s="299"/>
      <c r="R294" s="255"/>
      <c r="S294" s="290" t="s">
        <v>332</v>
      </c>
      <c r="X294" s="327"/>
      <c r="Y294" s="327"/>
      <c r="Z294" s="327"/>
      <c r="AA294" s="327"/>
      <c r="AB294" s="327"/>
      <c r="AC294" s="327"/>
      <c r="AD294" s="327"/>
      <c r="AE294" s="327"/>
      <c r="AF294" s="327"/>
      <c r="AG294" s="297"/>
      <c r="AJ294" s="294"/>
      <c r="AK294" s="249"/>
    </row>
    <row r="295" spans="2:37" ht="15">
      <c r="B295" s="255"/>
      <c r="D295" s="290" t="s">
        <v>573</v>
      </c>
      <c r="R295" s="255"/>
      <c r="X295" s="327"/>
      <c r="Y295" s="327"/>
      <c r="Z295" s="327"/>
      <c r="AA295" s="327"/>
      <c r="AB295" s="327"/>
      <c r="AC295" s="327"/>
      <c r="AD295" s="327"/>
      <c r="AE295" s="327"/>
      <c r="AF295" s="327"/>
      <c r="AG295" s="257"/>
      <c r="AI295" s="314"/>
      <c r="AJ295" s="294"/>
      <c r="AK295" s="249"/>
    </row>
    <row r="296" spans="2:37" ht="15" customHeight="1">
      <c r="B296" s="255"/>
      <c r="C296" s="306"/>
      <c r="D296" s="289" t="s">
        <v>577</v>
      </c>
      <c r="E296" s="289"/>
      <c r="F296" s="534"/>
      <c r="G296" s="534"/>
      <c r="H296" s="534"/>
      <c r="I296" s="534"/>
      <c r="J296" s="534"/>
      <c r="K296" s="256"/>
      <c r="N296" s="216"/>
      <c r="P296" s="267"/>
      <c r="R296" s="255"/>
      <c r="S296" s="634" t="str">
        <f>AA182</f>
        <v>Lettera a)</v>
      </c>
      <c r="T296" s="634"/>
      <c r="U296" s="634"/>
      <c r="V296" s="299" t="s">
        <v>562</v>
      </c>
      <c r="X296" s="327"/>
      <c r="Y296" s="340" t="str">
        <f>IF(S296="Lettera a)",AI296,IF(S296="Lettera b)",AI297," "))</f>
        <v>Vai a pag. 7/9</v>
      </c>
      <c r="Z296" s="327"/>
      <c r="AA296" s="327"/>
      <c r="AB296" s="327"/>
      <c r="AC296" s="327"/>
      <c r="AD296" s="327"/>
      <c r="AE296" s="327"/>
      <c r="AF296" s="327"/>
      <c r="AG296" s="257"/>
      <c r="AI296" s="333" t="s">
        <v>495</v>
      </c>
      <c r="AJ296" s="294"/>
      <c r="AK296" s="249"/>
    </row>
    <row r="297" spans="2:37" ht="15" customHeight="1">
      <c r="B297" s="255"/>
      <c r="C297" s="306"/>
      <c r="D297" s="290" t="s">
        <v>576</v>
      </c>
      <c r="F297" s="289"/>
      <c r="G297" s="289"/>
      <c r="H297" s="289"/>
      <c r="I297" s="289"/>
      <c r="J297" s="289"/>
      <c r="N297" s="299"/>
      <c r="R297" s="255"/>
      <c r="W297" s="324"/>
      <c r="X297" s="327"/>
      <c r="Y297" s="327"/>
      <c r="Z297" s="327"/>
      <c r="AA297" s="327"/>
      <c r="AB297" s="327"/>
      <c r="AC297" s="327"/>
      <c r="AD297" s="327"/>
      <c r="AE297" s="327"/>
      <c r="AF297" s="327"/>
      <c r="AG297" s="257"/>
      <c r="AI297" s="333" t="s">
        <v>494</v>
      </c>
    </row>
    <row r="298" spans="2:37" ht="14.1" customHeight="1">
      <c r="B298" s="255"/>
      <c r="C298" s="306"/>
      <c r="D298" s="477" t="s">
        <v>578</v>
      </c>
      <c r="F298" s="256"/>
      <c r="J298" s="290"/>
      <c r="R298" s="255"/>
      <c r="X298" s="327"/>
      <c r="Y298" s="327"/>
      <c r="Z298" s="327"/>
      <c r="AA298" s="327"/>
      <c r="AB298" s="327"/>
      <c r="AC298" s="327"/>
      <c r="AD298" s="327"/>
      <c r="AE298" s="327"/>
      <c r="AF298" s="327"/>
      <c r="AG298" s="257"/>
      <c r="AI298" s="333" t="s">
        <v>493</v>
      </c>
      <c r="AJ298" s="314"/>
    </row>
    <row r="299" spans="2:37" ht="15">
      <c r="B299" s="255"/>
      <c r="C299" s="306"/>
      <c r="F299" s="256"/>
      <c r="J299" s="290"/>
      <c r="K299" s="256"/>
      <c r="R299" s="255"/>
      <c r="X299" s="327"/>
      <c r="Y299" s="327"/>
      <c r="Z299" s="327"/>
      <c r="AA299" s="327"/>
      <c r="AB299" s="327"/>
      <c r="AC299" s="327"/>
      <c r="AD299" s="327"/>
      <c r="AE299" s="327"/>
      <c r="AF299" s="327"/>
      <c r="AG299" s="257"/>
      <c r="AI299" s="314"/>
    </row>
    <row r="300" spans="2:37" ht="14.1" customHeight="1">
      <c r="B300" s="255"/>
      <c r="C300" s="306"/>
      <c r="D300" s="290" t="s">
        <v>331</v>
      </c>
      <c r="R300" s="255"/>
      <c r="U300" s="300" t="s">
        <v>574</v>
      </c>
      <c r="V300" s="686">
        <f>AB199</f>
        <v>0</v>
      </c>
      <c r="W300" s="633"/>
      <c r="X300" s="327"/>
      <c r="Y300" s="453" t="s">
        <v>426</v>
      </c>
      <c r="Z300" s="327"/>
      <c r="AA300" s="327"/>
      <c r="AB300" s="327"/>
      <c r="AC300" s="327"/>
      <c r="AD300" s="327"/>
      <c r="AE300" s="327"/>
      <c r="AF300" s="327"/>
      <c r="AG300" s="257"/>
      <c r="AI300" s="314"/>
      <c r="AJ300" s="314"/>
    </row>
    <row r="301" spans="2:37" ht="12.75" customHeight="1">
      <c r="B301" s="255"/>
      <c r="R301" s="255"/>
      <c r="T301" s="530"/>
      <c r="U301" s="171" t="s">
        <v>569</v>
      </c>
      <c r="X301" s="327"/>
      <c r="Y301" s="453" t="s">
        <v>575</v>
      </c>
      <c r="Z301" s="327"/>
      <c r="AA301" s="327"/>
      <c r="AB301" s="327"/>
      <c r="AC301" s="327"/>
      <c r="AD301" s="327"/>
      <c r="AE301" s="327"/>
      <c r="AF301" s="327"/>
      <c r="AG301" s="257"/>
      <c r="AI301" s="314"/>
    </row>
    <row r="302" spans="2:37" ht="14.1" customHeight="1">
      <c r="B302" s="255"/>
      <c r="C302" s="306"/>
      <c r="D302" s="290"/>
      <c r="R302" s="255"/>
      <c r="X302" s="327"/>
      <c r="AA302" s="327"/>
      <c r="AB302" s="327"/>
      <c r="AC302" s="327"/>
      <c r="AD302" s="327"/>
      <c r="AE302" s="327"/>
      <c r="AF302" s="327"/>
      <c r="AG302" s="257"/>
      <c r="AI302" s="315"/>
    </row>
    <row r="303" spans="2:37" ht="12.75" customHeight="1">
      <c r="B303" s="255"/>
      <c r="C303" s="306"/>
      <c r="J303" s="290"/>
      <c r="R303" s="255"/>
      <c r="U303" s="300" t="s">
        <v>574</v>
      </c>
      <c r="V303" s="686">
        <f>AB201</f>
        <v>0</v>
      </c>
      <c r="W303" s="633"/>
      <c r="Y303" s="453" t="s">
        <v>426</v>
      </c>
      <c r="Z303" s="327"/>
      <c r="AA303" s="327"/>
      <c r="AB303" s="327"/>
      <c r="AC303" s="327"/>
      <c r="AD303" s="327"/>
      <c r="AE303" s="327"/>
      <c r="AF303" s="327"/>
      <c r="AG303" s="257"/>
    </row>
    <row r="304" spans="2:37" ht="15">
      <c r="B304" s="255"/>
      <c r="C304" s="306"/>
      <c r="R304" s="255"/>
      <c r="T304" s="300"/>
      <c r="U304" s="171" t="s">
        <v>570</v>
      </c>
      <c r="V304" s="267"/>
      <c r="W304" s="1"/>
      <c r="Y304" s="453" t="s">
        <v>575</v>
      </c>
      <c r="Z304" s="338"/>
      <c r="AA304" s="338"/>
      <c r="AB304" s="338"/>
      <c r="AC304" s="327"/>
      <c r="AD304" s="327"/>
      <c r="AG304" s="257"/>
    </row>
    <row r="305" spans="2:40">
      <c r="B305" s="255"/>
      <c r="C305" s="306"/>
      <c r="R305" s="255"/>
      <c r="T305" s="300"/>
      <c r="V305" s="282"/>
      <c r="W305" s="1"/>
      <c r="X305" s="1"/>
      <c r="AG305" s="257"/>
      <c r="AJ305" s="231"/>
      <c r="AL305" s="231"/>
      <c r="AM305" s="296"/>
      <c r="AN305" s="296"/>
    </row>
    <row r="306" spans="2:40">
      <c r="B306" s="255"/>
      <c r="C306" s="306"/>
      <c r="R306" s="255"/>
      <c r="AG306" s="257"/>
      <c r="AJ306" s="231"/>
      <c r="AL306" s="231"/>
      <c r="AM306" s="296"/>
      <c r="AN306" s="296"/>
    </row>
    <row r="307" spans="2:40">
      <c r="B307" s="255"/>
      <c r="C307" s="306"/>
      <c r="R307" s="255"/>
      <c r="AG307" s="257"/>
      <c r="AJ307" s="231"/>
      <c r="AL307" s="231"/>
      <c r="AM307" s="296"/>
      <c r="AN307" s="296"/>
    </row>
    <row r="308" spans="2:40" ht="15.75">
      <c r="B308" s="255"/>
      <c r="C308" s="306"/>
      <c r="D308" s="289"/>
      <c r="R308" s="255"/>
      <c r="V308" s="282"/>
      <c r="W308" s="1"/>
      <c r="X308" s="327"/>
      <c r="Y308" s="558" t="s">
        <v>606</v>
      </c>
      <c r="Z308" s="327"/>
      <c r="AA308" s="327"/>
      <c r="AB308" s="327"/>
      <c r="AC308" s="327"/>
      <c r="AD308" s="327"/>
      <c r="AE308" s="327"/>
      <c r="AF308" s="327"/>
      <c r="AG308" s="257"/>
      <c r="AL308" s="231"/>
      <c r="AM308" s="296"/>
      <c r="AN308" s="296"/>
    </row>
    <row r="309" spans="2:40" ht="15">
      <c r="B309" s="255"/>
      <c r="C309" s="306"/>
      <c r="D309" s="289"/>
      <c r="R309" s="255"/>
      <c r="U309" s="282"/>
      <c r="V309" s="524"/>
      <c r="X309" s="327"/>
      <c r="Y309" s="453"/>
      <c r="Z309" s="327"/>
      <c r="AA309" s="327"/>
      <c r="AB309" s="327"/>
      <c r="AC309" s="327"/>
      <c r="AD309" s="327"/>
      <c r="AE309" s="327"/>
      <c r="AF309" s="327"/>
      <c r="AG309" s="257"/>
      <c r="AI309" s="314"/>
      <c r="AJ309" s="314"/>
      <c r="AL309" s="231"/>
      <c r="AM309" s="296"/>
      <c r="AN309" s="296"/>
    </row>
    <row r="310" spans="2:40" ht="15.75">
      <c r="B310" s="255"/>
      <c r="C310" s="306"/>
      <c r="D310" s="289"/>
      <c r="R310" s="255"/>
      <c r="T310" s="383" t="s">
        <v>605</v>
      </c>
      <c r="U310" s="249"/>
      <c r="V310" s="524"/>
      <c r="Y310" s="251"/>
      <c r="AB310" s="327"/>
      <c r="AC310" s="327"/>
      <c r="AD310" s="327"/>
      <c r="AE310" s="327"/>
      <c r="AF310" s="327"/>
      <c r="AG310" s="257"/>
      <c r="AI310" s="314"/>
      <c r="AL310" s="231"/>
      <c r="AM310" s="296"/>
      <c r="AN310" s="296"/>
    </row>
    <row r="311" spans="2:40" ht="12.75" customHeight="1">
      <c r="B311" s="255"/>
      <c r="C311" s="306"/>
      <c r="R311" s="255"/>
      <c r="T311" s="383" t="s">
        <v>667</v>
      </c>
      <c r="U311" s="249"/>
      <c r="V311" s="524"/>
      <c r="AG311" s="257"/>
      <c r="AL311" s="231"/>
      <c r="AM311" s="296"/>
      <c r="AN311" s="296"/>
    </row>
    <row r="312" spans="2:40" ht="15.75">
      <c r="B312" s="255"/>
      <c r="C312" s="306"/>
      <c r="D312" s="289"/>
      <c r="R312" s="255"/>
      <c r="T312" s="383" t="s">
        <v>669</v>
      </c>
      <c r="U312" s="249"/>
      <c r="V312" s="524"/>
      <c r="Y312" s="453"/>
      <c r="Z312" s="327"/>
      <c r="AA312" s="327"/>
      <c r="AB312" s="327"/>
      <c r="AC312" s="327"/>
      <c r="AD312" s="327"/>
      <c r="AE312" s="327"/>
      <c r="AF312" s="327"/>
      <c r="AG312" s="257"/>
      <c r="AI312" s="343">
        <v>1</v>
      </c>
      <c r="AL312" s="231"/>
      <c r="AM312" s="296"/>
      <c r="AN312" s="296"/>
    </row>
    <row r="313" spans="2:40" ht="12.75" customHeight="1">
      <c r="B313" s="255"/>
      <c r="C313" s="307"/>
      <c r="D313" s="299"/>
      <c r="M313" s="488"/>
      <c r="R313" s="255"/>
      <c r="U313" s="249"/>
      <c r="V313" s="524"/>
      <c r="Y313" s="453"/>
      <c r="Z313" s="327"/>
      <c r="AA313" s="327"/>
      <c r="AB313" s="327"/>
      <c r="AC313" s="327"/>
      <c r="AD313" s="327"/>
      <c r="AE313" s="327"/>
      <c r="AF313" s="327"/>
      <c r="AG313" s="257"/>
      <c r="AI313" s="343">
        <v>2</v>
      </c>
      <c r="AL313" s="231"/>
      <c r="AM313" s="296"/>
      <c r="AN313" s="296"/>
    </row>
    <row r="314" spans="2:40" ht="12.75" customHeight="1">
      <c r="B314" s="255"/>
      <c r="R314" s="255"/>
      <c r="U314" s="249"/>
      <c r="V314" s="524"/>
      <c r="AC314" s="327"/>
      <c r="AD314" s="327"/>
      <c r="AE314" s="327"/>
      <c r="AF314" s="327"/>
      <c r="AG314" s="257"/>
      <c r="AL314" s="231"/>
      <c r="AM314" s="296"/>
      <c r="AN314" s="296"/>
    </row>
    <row r="315" spans="2:40" ht="15">
      <c r="B315" s="255"/>
      <c r="R315" s="255"/>
      <c r="T315" s="300"/>
      <c r="U315" s="249"/>
      <c r="V315" s="524"/>
      <c r="X315" s="327"/>
      <c r="Y315" s="327"/>
      <c r="Z315" s="327"/>
      <c r="AA315" s="327"/>
      <c r="AB315" s="327"/>
      <c r="AC315" s="327"/>
      <c r="AD315" s="327"/>
      <c r="AE315" s="327"/>
      <c r="AF315" s="327"/>
      <c r="AG315" s="257"/>
      <c r="AL315" s="231"/>
      <c r="AM315" s="296"/>
      <c r="AN315" s="296"/>
    </row>
    <row r="316" spans="2:40" ht="14.1" customHeight="1">
      <c r="B316" s="255"/>
      <c r="R316" s="255"/>
      <c r="U316" s="249"/>
      <c r="V316" s="524"/>
      <c r="AE316" s="327"/>
      <c r="AF316" s="327"/>
      <c r="AG316" s="257"/>
      <c r="AL316" s="231"/>
      <c r="AM316" s="296"/>
      <c r="AN316" s="296"/>
    </row>
    <row r="317" spans="2:40">
      <c r="B317" s="255"/>
      <c r="R317" s="255"/>
      <c r="U317" s="249"/>
      <c r="V317" s="524"/>
      <c r="AG317" s="257"/>
      <c r="AL317" s="231"/>
      <c r="AM317" s="296"/>
      <c r="AN317" s="296"/>
    </row>
    <row r="318" spans="2:40" ht="14.1" customHeight="1">
      <c r="B318" s="255"/>
      <c r="R318" s="255"/>
      <c r="V318" s="524"/>
      <c r="AG318" s="257"/>
      <c r="AL318" s="231"/>
      <c r="AM318" s="296"/>
      <c r="AN318" s="296"/>
    </row>
    <row r="319" spans="2:40" ht="12.75" customHeight="1">
      <c r="B319" s="255"/>
      <c r="R319" s="255"/>
      <c r="V319" s="524"/>
      <c r="AG319" s="257"/>
      <c r="AL319" s="231"/>
      <c r="AM319" s="296"/>
      <c r="AN319" s="296"/>
    </row>
    <row r="320" spans="2:40" ht="14.1" customHeight="1" thickBot="1">
      <c r="B320" s="283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284"/>
      <c r="R320" s="283"/>
      <c r="S320" s="337"/>
      <c r="T320" s="336"/>
      <c r="U320" s="284"/>
      <c r="V320" s="284"/>
      <c r="W320" s="284"/>
      <c r="X320" s="339"/>
      <c r="Y320" s="284"/>
      <c r="Z320" s="284"/>
      <c r="AA320" s="284"/>
      <c r="AB320" s="284"/>
      <c r="AC320" s="284"/>
      <c r="AD320" s="284"/>
      <c r="AE320" s="284"/>
      <c r="AF320" s="284"/>
      <c r="AG320" s="285"/>
      <c r="AL320" s="231"/>
      <c r="AM320" s="296"/>
      <c r="AN320" s="296"/>
    </row>
  </sheetData>
  <sheetProtection algorithmName="SHA-512" hashValue="fWGcpWFBuyazfMV8Go1G/WY6JR45iPrpg0ZRJjbCkDrY9jHp+/HtnEZCecclLizJFoDwWWAQbOPzd58jXuET2g==" saltValue="39i5lLDO7b0oiva0skx9Mw==" spinCount="100000" sheet="1" objects="1" scenarios="1" selectLockedCells="1"/>
  <dataConsolidate/>
  <mergeCells count="80">
    <mergeCell ref="B151:Q152"/>
    <mergeCell ref="B212:Q213"/>
    <mergeCell ref="B153:Q154"/>
    <mergeCell ref="R175:AF176"/>
    <mergeCell ref="B175:Q176"/>
    <mergeCell ref="AA184:AB184"/>
    <mergeCell ref="AD119:AG119"/>
    <mergeCell ref="AF227:AF228"/>
    <mergeCell ref="R134:AC134"/>
    <mergeCell ref="R212:AF213"/>
    <mergeCell ref="AF222:AF223"/>
    <mergeCell ref="AF219:AF220"/>
    <mergeCell ref="S221:U221"/>
    <mergeCell ref="Y221:AF221"/>
    <mergeCell ref="AF225:AF226"/>
    <mergeCell ref="R151:AF152"/>
    <mergeCell ref="AG151:AG154"/>
    <mergeCell ref="R135:AC135"/>
    <mergeCell ref="R153:AF154"/>
    <mergeCell ref="AG2:AG5"/>
    <mergeCell ref="R2:AF3"/>
    <mergeCell ref="R39:AF40"/>
    <mergeCell ref="AG39:AG42"/>
    <mergeCell ref="R41:AF42"/>
    <mergeCell ref="R4:AE5"/>
    <mergeCell ref="AF4:AF5"/>
    <mergeCell ref="B2:Q3"/>
    <mergeCell ref="B4:Q5"/>
    <mergeCell ref="R76:AF77"/>
    <mergeCell ref="R78:AF79"/>
    <mergeCell ref="X103:Z103"/>
    <mergeCell ref="X85:Z85"/>
    <mergeCell ref="X88:Z88"/>
    <mergeCell ref="X91:Z91"/>
    <mergeCell ref="X94:Z94"/>
    <mergeCell ref="X97:Z97"/>
    <mergeCell ref="AD118:AG118"/>
    <mergeCell ref="B39:Q40"/>
    <mergeCell ref="B41:Q42"/>
    <mergeCell ref="X86:Z86"/>
    <mergeCell ref="X107:Z107"/>
    <mergeCell ref="S296:U296"/>
    <mergeCell ref="B113:Q114"/>
    <mergeCell ref="B76:Q77"/>
    <mergeCell ref="B78:Q79"/>
    <mergeCell ref="AG212:AG215"/>
    <mergeCell ref="B214:Q215"/>
    <mergeCell ref="R214:AF215"/>
    <mergeCell ref="X100:Z100"/>
    <mergeCell ref="AG175:AG178"/>
    <mergeCell ref="B177:Q178"/>
    <mergeCell ref="R177:AF178"/>
    <mergeCell ref="B115:Q116"/>
    <mergeCell ref="R113:AF114"/>
    <mergeCell ref="AG113:AG116"/>
    <mergeCell ref="AG76:AG79"/>
    <mergeCell ref="R115:AF116"/>
    <mergeCell ref="AG288:AG291"/>
    <mergeCell ref="B290:Q291"/>
    <mergeCell ref="R290:AF291"/>
    <mergeCell ref="AG250:AG253"/>
    <mergeCell ref="B252:Q253"/>
    <mergeCell ref="R252:AF253"/>
    <mergeCell ref="B288:Q289"/>
    <mergeCell ref="R288:AF289"/>
    <mergeCell ref="AF263:AF264"/>
    <mergeCell ref="AF260:AF261"/>
    <mergeCell ref="AF265:AF266"/>
    <mergeCell ref="B250:Q251"/>
    <mergeCell ref="R250:AF251"/>
    <mergeCell ref="S259:U259"/>
    <mergeCell ref="AF257:AF258"/>
    <mergeCell ref="Y259:AF259"/>
    <mergeCell ref="V303:W303"/>
    <mergeCell ref="AA182:AB182"/>
    <mergeCell ref="X201:Y201"/>
    <mergeCell ref="V300:W300"/>
    <mergeCell ref="Y219:AE220"/>
    <mergeCell ref="Y257:AE258"/>
    <mergeCell ref="X199:Y199"/>
  </mergeCells>
  <conditionalFormatting sqref="AB198">
    <cfRule type="expression" dxfId="46" priority="9">
      <formula>$AA$182&lt;&gt;"Lettera c)"</formula>
    </cfRule>
  </conditionalFormatting>
  <conditionalFormatting sqref="AB200">
    <cfRule type="expression" dxfId="45" priority="5">
      <formula>$AA$182&lt;&gt;"Lettera c)"</formula>
    </cfRule>
  </conditionalFormatting>
  <conditionalFormatting sqref="AD197">
    <cfRule type="expression" dxfId="44" priority="21">
      <formula>$AA$182&lt;&gt;"Lettera b)"</formula>
    </cfRule>
  </conditionalFormatting>
  <conditionalFormatting sqref="AF222">
    <cfRule type="expression" dxfId="43" priority="3">
      <formula>$AF$181="NO"</formula>
    </cfRule>
  </conditionalFormatting>
  <conditionalFormatting sqref="AF224:AF225 AF227">
    <cfRule type="expression" dxfId="42" priority="4">
      <formula>$AF$181="NO"</formula>
    </cfRule>
  </conditionalFormatting>
  <conditionalFormatting sqref="AF260">
    <cfRule type="expression" dxfId="41" priority="1">
      <formula>$AF$181="NO"</formula>
    </cfRule>
  </conditionalFormatting>
  <conditionalFormatting sqref="AF262:AF263 AF265">
    <cfRule type="expression" dxfId="40" priority="2">
      <formula>$AF$181="NO"</formula>
    </cfRule>
  </conditionalFormatting>
  <dataValidations count="12">
    <dataValidation type="list" allowBlank="1" showInputMessage="1" showErrorMessage="1" sqref="X131 X148 X173">
      <formula1>$AI$119:$AI$121</formula1>
    </dataValidation>
    <dataValidation type="list" allowBlank="1" showInputMessage="1" showErrorMessage="1" sqref="V121 V123 V141 V139 V165 V161 V163 V159">
      <formula1>$AI$123:$AI$128</formula1>
    </dataValidation>
    <dataValidation type="list" allowBlank="1" showInputMessage="1" showErrorMessage="1" sqref="Z46 Z66 Z56">
      <formula1>$AL$46:$AL$47</formula1>
    </dataValidation>
    <dataValidation type="list" allowBlank="1" showInputMessage="1" showErrorMessage="1" sqref="Z50 Z70 Z60">
      <formula1>$AM$45:$AM$47</formula1>
    </dataValidation>
    <dataValidation type="list" allowBlank="1" showInputMessage="1" showErrorMessage="1" sqref="AD121 AD126">
      <formula1>$AI$122:$AI$127</formula1>
    </dataValidation>
    <dataValidation type="list" allowBlank="1" showInputMessage="1" showErrorMessage="1" sqref="AB169">
      <formula1>$S$125:$S$126</formula1>
    </dataValidation>
    <dataValidation type="list" allowBlank="1" showInputMessage="1" showErrorMessage="1" sqref="AA182:AB182">
      <formula1>$AI$175:$AI$177</formula1>
    </dataValidation>
    <dataValidation type="list" allowBlank="1" showInputMessage="1" showErrorMessage="1" sqref="AA184:AB184">
      <formula1>$AI$178:$AI$179</formula1>
    </dataValidation>
    <dataValidation type="list" allowBlank="1" showInputMessage="1" showErrorMessage="1" sqref="Z190:Z191">
      <formula1>$AI$194:$AI$195</formula1>
    </dataValidation>
    <dataValidation type="list" allowBlank="1" showInputMessage="1" showErrorMessage="1" sqref="X201:Y201 X199">
      <formula1>$AJ$213:$AJ$222</formula1>
    </dataValidation>
    <dataValidation type="list" allowBlank="1" showInputMessage="1" showErrorMessage="1" sqref="AF219:AF220">
      <formula1>$AI$219:$AI$220</formula1>
    </dataValidation>
    <dataValidation type="list" allowBlank="1" showInputMessage="1" showErrorMessage="1" sqref="AF257:AF258">
      <formula1>$AI$257:$AI$258</formula1>
    </dataValidation>
  </dataValidations>
  <printOptions horizontalCentered="1" verticalCentered="1"/>
  <pageMargins left="0.25" right="0.25" top="0.75" bottom="0.75" header="0.3" footer="0.3"/>
  <pageSetup paperSize="9" scale="94" fitToWidth="0" fitToHeight="0" pageOrder="overThenDown" orientation="landscape" horizontalDpi="1200" verticalDpi="1200" r:id="rId1"/>
  <rowBreaks count="8" manualBreakCount="8">
    <brk id="38" max="16383" man="1"/>
    <brk id="75" max="16383" man="1"/>
    <brk id="112" max="16383" man="1"/>
    <brk id="150" max="16383" man="1"/>
    <brk id="174" max="16383" man="1"/>
    <brk id="211" max="16383" man="1"/>
    <brk id="249" max="16383" man="1"/>
    <brk id="28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'Tabella Parametrica U1-U2'!$U$48:$U$52</xm:f>
          </x14:formula1>
          <xm:sqref>X46 X56 X66</xm:sqref>
        </x14:dataValidation>
        <x14:dataValidation type="list" allowBlank="1" showInputMessage="1" showErrorMessage="1">
          <x14:formula1>
            <xm:f>'Tabella Parametrica U1-U2'!$V$48:$V$52</xm:f>
          </x14:formula1>
          <xm:sqref>X50 X60 X70</xm:sqref>
        </x14:dataValidation>
        <x14:dataValidation type="list" allowBlank="1" showInputMessage="1" showErrorMessage="1">
          <x14:formula1>
            <xm:f>'Tabella Parametrica U1-U2'!$U$4:$U$47</xm:f>
          </x14:formula1>
          <xm:sqref>X9 X19 X29</xm:sqref>
        </x14:dataValidation>
        <x14:dataValidation type="list" allowBlank="1" showInputMessage="1" showErrorMessage="1">
          <x14:formula1>
            <xm:f>'Tabella Parametrica U1-U2'!$V$4:$V$47</xm:f>
          </x14:formula1>
          <xm:sqref>X13 X23 X33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B1:P102"/>
  <sheetViews>
    <sheetView showGridLines="0" zoomScaleNormal="100" workbookViewId="0">
      <selection activeCell="C11" sqref="C11"/>
    </sheetView>
  </sheetViews>
  <sheetFormatPr defaultColWidth="9.140625" defaultRowHeight="12.75"/>
  <cols>
    <col min="1" max="1" width="5.7109375" style="4" customWidth="1"/>
    <col min="2" max="2" width="24.7109375" style="4" customWidth="1"/>
    <col min="3" max="3" width="16.42578125" style="4" customWidth="1"/>
    <col min="4" max="4" width="21.7109375" style="4" customWidth="1"/>
    <col min="5" max="5" width="25.7109375" style="4" customWidth="1"/>
    <col min="6" max="6" width="15.7109375" style="4" customWidth="1"/>
    <col min="7" max="7" width="18.140625" style="4" customWidth="1"/>
    <col min="8" max="16" width="12.7109375" style="4" customWidth="1"/>
    <col min="17" max="16384" width="9.140625" style="4"/>
  </cols>
  <sheetData>
    <row r="1" spans="2:10" ht="13.5" thickBot="1"/>
    <row r="2" spans="2:10" ht="35.1" customHeight="1">
      <c r="B2" s="318" t="s">
        <v>335</v>
      </c>
      <c r="C2" s="822" t="s">
        <v>381</v>
      </c>
      <c r="D2" s="823"/>
      <c r="E2" s="823"/>
      <c r="F2" s="823"/>
      <c r="G2" s="823"/>
      <c r="H2" s="824"/>
      <c r="I2" s="5"/>
    </row>
    <row r="3" spans="2:10" ht="35.1" customHeight="1" thickBot="1">
      <c r="B3" s="319" t="s">
        <v>336</v>
      </c>
      <c r="C3" s="825" t="s">
        <v>531</v>
      </c>
      <c r="D3" s="826"/>
      <c r="E3" s="826"/>
      <c r="F3" s="826"/>
      <c r="G3" s="826"/>
      <c r="H3" s="827"/>
      <c r="I3" s="5"/>
    </row>
    <row r="4" spans="2:10" ht="9.9499999999999993" customHeight="1">
      <c r="B4" s="320"/>
      <c r="C4" s="321"/>
      <c r="D4" s="321"/>
      <c r="E4" s="321"/>
      <c r="F4" s="321"/>
      <c r="G4" s="321"/>
      <c r="H4" s="321"/>
      <c r="I4" s="5"/>
    </row>
    <row r="5" spans="2:10" ht="24.95" customHeight="1">
      <c r="B5" s="828" t="s">
        <v>24</v>
      </c>
      <c r="C5" s="829"/>
      <c r="D5" s="829"/>
      <c r="E5" s="829"/>
      <c r="F5" s="829"/>
      <c r="G5" s="829"/>
      <c r="H5" s="830"/>
      <c r="I5" s="5"/>
    </row>
    <row r="6" spans="2:10" ht="24.95" customHeight="1">
      <c r="B6" s="6" t="s">
        <v>25</v>
      </c>
    </row>
    <row r="7" spans="2:10" ht="24.95" customHeight="1">
      <c r="B7" s="7" t="s">
        <v>26</v>
      </c>
    </row>
    <row r="8" spans="2:10" s="9" customFormat="1" ht="15" customHeight="1">
      <c r="B8" s="8" t="s">
        <v>27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4"/>
    </row>
    <row r="9" spans="2:10" s="9" customFormat="1" ht="15" customHeight="1">
      <c r="B9" s="10" t="s">
        <v>3</v>
      </c>
      <c r="C9" s="10" t="s">
        <v>33</v>
      </c>
      <c r="D9" s="10" t="s">
        <v>3</v>
      </c>
      <c r="E9" s="10" t="s">
        <v>34</v>
      </c>
      <c r="F9" s="10"/>
      <c r="G9" s="10" t="s">
        <v>35</v>
      </c>
      <c r="H9" s="4"/>
    </row>
    <row r="10" spans="2:10" s="12" customFormat="1" ht="15" customHeight="1">
      <c r="B10" s="11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  <c r="H10" s="4"/>
    </row>
    <row r="11" spans="2:10" s="9" customFormat="1" ht="15" customHeight="1">
      <c r="B11" s="454" t="s">
        <v>42</v>
      </c>
      <c r="C11" s="13">
        <v>0</v>
      </c>
      <c r="D11" s="14">
        <v>0</v>
      </c>
      <c r="E11" s="15" t="e">
        <f>D11/D16</f>
        <v>#DIV/0!</v>
      </c>
      <c r="F11" s="16">
        <v>0</v>
      </c>
      <c r="G11" s="17" t="e">
        <f>E11*F11</f>
        <v>#DIV/0!</v>
      </c>
      <c r="H11" s="4"/>
      <c r="J11" s="4"/>
    </row>
    <row r="12" spans="2:10" s="9" customFormat="1" ht="15" customHeight="1">
      <c r="B12" s="454" t="s">
        <v>43</v>
      </c>
      <c r="C12" s="13">
        <v>0</v>
      </c>
      <c r="D12" s="14">
        <v>0</v>
      </c>
      <c r="E12" s="15" t="e">
        <f>D12/D16</f>
        <v>#DIV/0!</v>
      </c>
      <c r="F12" s="16">
        <v>5</v>
      </c>
      <c r="G12" s="17" t="e">
        <f>E12*F12</f>
        <v>#DIV/0!</v>
      </c>
      <c r="H12" s="4"/>
      <c r="J12" s="4"/>
    </row>
    <row r="13" spans="2:10" s="9" customFormat="1" ht="15" customHeight="1">
      <c r="B13" s="454" t="s">
        <v>44</v>
      </c>
      <c r="C13" s="13">
        <v>0</v>
      </c>
      <c r="D13" s="14">
        <v>0</v>
      </c>
      <c r="E13" s="15" t="e">
        <f>D13/D16</f>
        <v>#DIV/0!</v>
      </c>
      <c r="F13" s="16">
        <v>15</v>
      </c>
      <c r="G13" s="17" t="e">
        <f>E13*F13</f>
        <v>#DIV/0!</v>
      </c>
      <c r="H13" s="4"/>
      <c r="J13" s="4"/>
    </row>
    <row r="14" spans="2:10" s="9" customFormat="1" ht="15" customHeight="1">
      <c r="B14" s="454" t="s">
        <v>45</v>
      </c>
      <c r="C14" s="13">
        <v>0</v>
      </c>
      <c r="D14" s="14">
        <v>0</v>
      </c>
      <c r="E14" s="15" t="e">
        <f>D14/D16</f>
        <v>#DIV/0!</v>
      </c>
      <c r="F14" s="16">
        <v>30</v>
      </c>
      <c r="G14" s="17" t="e">
        <f>E14*F14</f>
        <v>#DIV/0!</v>
      </c>
      <c r="H14" s="4"/>
      <c r="J14" s="4"/>
    </row>
    <row r="15" spans="2:10" s="9" customFormat="1" ht="15" customHeight="1" thickBot="1">
      <c r="B15" s="454" t="s">
        <v>46</v>
      </c>
      <c r="C15" s="13">
        <v>0</v>
      </c>
      <c r="D15" s="14">
        <v>0</v>
      </c>
      <c r="E15" s="15" t="e">
        <f>D15/D16</f>
        <v>#DIV/0!</v>
      </c>
      <c r="F15" s="16">
        <v>50</v>
      </c>
      <c r="G15" s="18" t="e">
        <f>E15*F15</f>
        <v>#DIV/0!</v>
      </c>
      <c r="H15" s="4"/>
      <c r="J15" s="4"/>
    </row>
    <row r="16" spans="2:10" s="9" customFormat="1" ht="15" customHeight="1" thickBot="1">
      <c r="B16" s="4"/>
      <c r="C16" s="19" t="s">
        <v>47</v>
      </c>
      <c r="D16" s="20">
        <f>SUM(D11:D15)</f>
        <v>0</v>
      </c>
      <c r="E16" s="4"/>
      <c r="F16" s="4"/>
      <c r="G16" s="21" t="s">
        <v>48</v>
      </c>
      <c r="H16" s="22">
        <f>IFERROR(SUM(G11:G15),0)</f>
        <v>0</v>
      </c>
      <c r="J16" s="4"/>
    </row>
    <row r="17" spans="2:11" ht="24.95" customHeight="1">
      <c r="B17" s="7" t="s">
        <v>49</v>
      </c>
    </row>
    <row r="18" spans="2:11" s="9" customFormat="1" ht="15" customHeight="1">
      <c r="B18" s="23" t="s">
        <v>50</v>
      </c>
      <c r="C18" s="24">
        <f>D16</f>
        <v>0</v>
      </c>
      <c r="D18" s="831" t="s">
        <v>51</v>
      </c>
      <c r="E18" s="832"/>
      <c r="F18" s="833" t="s">
        <v>52</v>
      </c>
      <c r="G18" s="836" t="s">
        <v>53</v>
      </c>
      <c r="H18" s="4"/>
      <c r="J18" s="4"/>
    </row>
    <row r="19" spans="2:11" s="9" customFormat="1" ht="15" customHeight="1">
      <c r="B19" s="23" t="s">
        <v>54</v>
      </c>
      <c r="C19" s="14">
        <v>0</v>
      </c>
      <c r="D19" s="831"/>
      <c r="E19" s="832"/>
      <c r="F19" s="834"/>
      <c r="G19" s="837" t="s">
        <v>53</v>
      </c>
      <c r="H19" s="4"/>
      <c r="J19" s="4"/>
      <c r="K19" s="25"/>
    </row>
    <row r="20" spans="2:11" s="9" customFormat="1" ht="15" customHeight="1">
      <c r="B20" s="26" t="s">
        <v>55</v>
      </c>
      <c r="C20" s="27">
        <f>C18+C19*0.6</f>
        <v>0</v>
      </c>
      <c r="D20" s="831"/>
      <c r="E20" s="832"/>
      <c r="F20" s="835"/>
      <c r="G20" s="838"/>
      <c r="H20" s="4"/>
      <c r="J20" s="4"/>
      <c r="K20" s="25"/>
    </row>
    <row r="21" spans="2:11" ht="15" customHeight="1">
      <c r="B21" s="23" t="s">
        <v>56</v>
      </c>
      <c r="C21" s="16">
        <f>IFERROR(C19/C18*100,0)</f>
        <v>0</v>
      </c>
      <c r="D21" s="839" t="s">
        <v>57</v>
      </c>
      <c r="E21" s="840"/>
      <c r="F21" s="16" t="str">
        <f>IF(C21&lt;=50,"1","0")</f>
        <v>1</v>
      </c>
      <c r="G21" s="16">
        <v>0</v>
      </c>
      <c r="I21" s="9"/>
      <c r="K21" s="25"/>
    </row>
    <row r="22" spans="2:11" ht="15" customHeight="1">
      <c r="B22" s="28"/>
      <c r="C22" s="29"/>
      <c r="D22" s="839" t="s">
        <v>58</v>
      </c>
      <c r="E22" s="840"/>
      <c r="F22" s="16" t="str">
        <f>IF(AND(C21&gt;50,C21&lt;=75),"1","0")</f>
        <v>0</v>
      </c>
      <c r="G22" s="16">
        <v>10</v>
      </c>
      <c r="I22" s="9"/>
      <c r="K22" s="25"/>
    </row>
    <row r="23" spans="2:11" ht="15" customHeight="1" thickBot="1">
      <c r="B23" s="482" t="s">
        <v>504</v>
      </c>
      <c r="C23" s="30"/>
      <c r="D23" s="839" t="s">
        <v>59</v>
      </c>
      <c r="E23" s="840"/>
      <c r="F23" s="16" t="str">
        <f>IF(AND(C21&gt;75,C21&lt;=100),"1","0")</f>
        <v>0</v>
      </c>
      <c r="G23" s="16">
        <v>20</v>
      </c>
      <c r="I23" s="9"/>
      <c r="K23" s="25"/>
    </row>
    <row r="24" spans="2:11" ht="15" customHeight="1" thickBot="1">
      <c r="B24" s="482" t="s">
        <v>506</v>
      </c>
      <c r="C24" s="30"/>
      <c r="D24" s="839" t="s">
        <v>60</v>
      </c>
      <c r="E24" s="840"/>
      <c r="F24" s="16" t="str">
        <f>IF(C21&gt;100,"1","0")</f>
        <v>0</v>
      </c>
      <c r="G24" s="31">
        <v>30</v>
      </c>
      <c r="H24" s="22">
        <f>IFERROR(F21*G21+F22*G22+F23*G23+F24*G24,0)</f>
        <v>0</v>
      </c>
      <c r="I24" s="9"/>
      <c r="K24" s="25"/>
    </row>
    <row r="25" spans="2:11" ht="24.95" customHeight="1">
      <c r="B25" s="482" t="s">
        <v>517</v>
      </c>
      <c r="I25" s="9"/>
      <c r="K25" s="25"/>
    </row>
    <row r="26" spans="2:11" ht="24.95" customHeight="1">
      <c r="B26" s="6" t="s">
        <v>61</v>
      </c>
      <c r="K26" s="32"/>
    </row>
    <row r="27" spans="2:11" ht="24.95" customHeight="1" thickBot="1">
      <c r="B27" s="7" t="s">
        <v>62</v>
      </c>
    </row>
    <row r="28" spans="2:11" s="12" customFormat="1" ht="15" customHeight="1" thickBot="1">
      <c r="B28" s="33" t="s">
        <v>63</v>
      </c>
      <c r="C28" s="34">
        <f>H24+H16</f>
        <v>0</v>
      </c>
      <c r="D28" s="35" t="s">
        <v>64</v>
      </c>
      <c r="E28" s="36" t="str">
        <f>ROMAN(H90)</f>
        <v>I</v>
      </c>
      <c r="F28" s="35" t="s">
        <v>65</v>
      </c>
      <c r="G28" s="37">
        <f>E91*D91+E92*D92+E93*D93+E94*D94+E95*D95+E96*D96+E97*D97+E98*D98+E99*D99+E100*D100+E101*D101</f>
        <v>0</v>
      </c>
      <c r="H28" s="4"/>
      <c r="K28" s="38"/>
    </row>
    <row r="29" spans="2:11" ht="15" customHeight="1">
      <c r="B29" s="39"/>
      <c r="K29" s="32"/>
    </row>
    <row r="30" spans="2:11" ht="15" customHeight="1">
      <c r="B30" s="40" t="s">
        <v>66</v>
      </c>
      <c r="C30" s="40" t="s">
        <v>67</v>
      </c>
      <c r="D30" s="40" t="s">
        <v>66</v>
      </c>
      <c r="E30" s="40" t="s">
        <v>67</v>
      </c>
    </row>
    <row r="31" spans="2:11" ht="15" customHeight="1">
      <c r="B31" s="41" t="s">
        <v>68</v>
      </c>
      <c r="C31" s="42" t="s">
        <v>69</v>
      </c>
      <c r="D31" s="41" t="s">
        <v>70</v>
      </c>
      <c r="E31" s="42" t="s">
        <v>71</v>
      </c>
    </row>
    <row r="32" spans="2:11" ht="15" customHeight="1">
      <c r="B32" s="41" t="s">
        <v>72</v>
      </c>
      <c r="C32" s="42" t="s">
        <v>73</v>
      </c>
      <c r="D32" s="41" t="s">
        <v>74</v>
      </c>
      <c r="E32" s="42" t="s">
        <v>75</v>
      </c>
    </row>
    <row r="33" spans="2:16" ht="15" customHeight="1">
      <c r="B33" s="41" t="s">
        <v>76</v>
      </c>
      <c r="C33" s="42" t="s">
        <v>77</v>
      </c>
      <c r="D33" s="41" t="s">
        <v>78</v>
      </c>
      <c r="E33" s="42" t="s">
        <v>79</v>
      </c>
    </row>
    <row r="34" spans="2:16" ht="15" customHeight="1">
      <c r="B34" s="41" t="s">
        <v>80</v>
      </c>
      <c r="C34" s="42" t="s">
        <v>81</v>
      </c>
      <c r="D34" s="41" t="s">
        <v>82</v>
      </c>
      <c r="E34" s="42" t="s">
        <v>83</v>
      </c>
    </row>
    <row r="35" spans="2:16" ht="15" customHeight="1">
      <c r="B35" s="41" t="s">
        <v>84</v>
      </c>
      <c r="C35" s="42" t="s">
        <v>85</v>
      </c>
      <c r="D35" s="41" t="s">
        <v>86</v>
      </c>
      <c r="E35" s="42" t="s">
        <v>87</v>
      </c>
    </row>
    <row r="36" spans="2:16" ht="15" customHeight="1">
      <c r="B36" s="41" t="s">
        <v>88</v>
      </c>
      <c r="C36" s="42" t="s">
        <v>89</v>
      </c>
      <c r="D36" s="28"/>
      <c r="E36" s="28"/>
      <c r="F36" s="43"/>
    </row>
    <row r="37" spans="2:16" ht="24.95" customHeight="1">
      <c r="B37" s="44"/>
      <c r="K37" s="32"/>
    </row>
    <row r="38" spans="2:16" ht="24.75" customHeight="1">
      <c r="B38" s="6" t="s">
        <v>90</v>
      </c>
      <c r="K38" s="32"/>
    </row>
    <row r="39" spans="2:16" ht="24.75" customHeight="1">
      <c r="B39" s="48" t="s">
        <v>622</v>
      </c>
      <c r="C39" s="841" t="s">
        <v>91</v>
      </c>
      <c r="D39" s="842"/>
      <c r="E39" s="842"/>
      <c r="K39" s="32"/>
    </row>
    <row r="40" spans="2:16" ht="24.75" customHeight="1">
      <c r="B40" s="48" t="s">
        <v>621</v>
      </c>
      <c r="C40" s="574" t="s">
        <v>620</v>
      </c>
      <c r="D40" s="338"/>
      <c r="E40" s="338"/>
      <c r="K40" s="32"/>
    </row>
    <row r="41" spans="2:16" ht="24.75" customHeight="1">
      <c r="D41" s="44"/>
      <c r="E41" s="44"/>
      <c r="F41" s="46"/>
      <c r="G41" s="44"/>
      <c r="H41" s="44"/>
      <c r="I41" s="44"/>
      <c r="J41" s="44"/>
      <c r="K41" s="44"/>
      <c r="L41" s="44"/>
    </row>
    <row r="42" spans="2:16" ht="24.75" customHeight="1">
      <c r="B42" s="654" t="s">
        <v>456</v>
      </c>
      <c r="C42" s="858"/>
      <c r="D42" s="47"/>
      <c r="E42" s="654" t="s">
        <v>457</v>
      </c>
      <c r="F42" s="859"/>
      <c r="G42" s="846" t="s">
        <v>93</v>
      </c>
      <c r="H42" s="847"/>
      <c r="I42" s="848"/>
      <c r="J42" s="48"/>
      <c r="K42" s="48"/>
      <c r="L42" s="48"/>
    </row>
    <row r="43" spans="2:16" ht="24.75" customHeight="1">
      <c r="B43" s="49"/>
      <c r="C43" s="50"/>
      <c r="D43" s="47"/>
      <c r="E43" s="51" t="s">
        <v>94</v>
      </c>
      <c r="F43" s="52" t="s">
        <v>95</v>
      </c>
      <c r="G43" s="849" t="s">
        <v>96</v>
      </c>
      <c r="H43" s="53" t="s">
        <v>97</v>
      </c>
      <c r="I43" s="556">
        <v>1</v>
      </c>
      <c r="J43" s="48"/>
      <c r="K43" s="48"/>
      <c r="L43" s="48"/>
    </row>
    <row r="44" spans="2:16" ht="24.75" customHeight="1">
      <c r="B44" s="55" t="s">
        <v>98</v>
      </c>
      <c r="C44" s="56">
        <v>0</v>
      </c>
      <c r="D44" s="47"/>
      <c r="E44" s="376" t="s">
        <v>509</v>
      </c>
      <c r="F44" s="243">
        <f>IF(F43=H43,AVERAGE(C44:C45)*I43,IF(F43=H44,AVERAGE(C44:C45)*I44,IF(F43=H45,AVERAGE(C44:C45)*I45,"errore o dati mancanti")))</f>
        <v>0</v>
      </c>
      <c r="G44" s="850"/>
      <c r="H44" s="53" t="s">
        <v>95</v>
      </c>
      <c r="I44" s="556">
        <v>1.3</v>
      </c>
      <c r="J44" s="48"/>
      <c r="K44" s="48"/>
      <c r="L44" s="48"/>
    </row>
    <row r="45" spans="2:16" ht="24.75" customHeight="1">
      <c r="B45" s="55" t="s">
        <v>99</v>
      </c>
      <c r="C45" s="56">
        <v>0</v>
      </c>
      <c r="D45" s="57"/>
      <c r="E45" s="377" t="s">
        <v>510</v>
      </c>
      <c r="F45" s="58"/>
      <c r="G45" s="851"/>
      <c r="H45" s="59" t="s">
        <v>100</v>
      </c>
      <c r="I45" s="556">
        <v>2</v>
      </c>
      <c r="J45" s="48"/>
      <c r="K45" s="48"/>
      <c r="L45" s="48"/>
    </row>
    <row r="46" spans="2:16" ht="24.75" customHeight="1">
      <c r="B46" s="49"/>
      <c r="C46" s="50"/>
      <c r="D46" s="47"/>
      <c r="E46" s="60"/>
      <c r="F46" s="60"/>
      <c r="G46" s="48"/>
      <c r="H46" s="61"/>
      <c r="I46" s="48"/>
      <c r="J46" s="48"/>
      <c r="K46" s="48"/>
      <c r="L46" s="48"/>
    </row>
    <row r="47" spans="2:16" ht="24.75" customHeight="1">
      <c r="B47" s="62" t="s">
        <v>101</v>
      </c>
      <c r="C47" s="63">
        <f>F51</f>
        <v>0</v>
      </c>
      <c r="D47" s="47"/>
      <c r="E47" s="852" t="s">
        <v>518</v>
      </c>
      <c r="F47" s="853"/>
      <c r="G47" s="849" t="s">
        <v>102</v>
      </c>
      <c r="H47" s="846" t="s">
        <v>532</v>
      </c>
      <c r="I47" s="847"/>
      <c r="J47" s="847"/>
      <c r="K47" s="847"/>
      <c r="L47" s="847"/>
      <c r="M47" s="860"/>
      <c r="N47" s="860"/>
      <c r="O47" s="860"/>
      <c r="P47" s="861"/>
    </row>
    <row r="48" spans="2:16" ht="24.75" customHeight="1">
      <c r="B48" s="484" t="s">
        <v>382</v>
      </c>
      <c r="C48" s="47"/>
      <c r="D48" s="47"/>
      <c r="E48" s="854"/>
      <c r="F48" s="855"/>
      <c r="G48" s="851"/>
      <c r="H48" s="64" t="s">
        <v>103</v>
      </c>
      <c r="I48" s="64" t="s">
        <v>104</v>
      </c>
      <c r="J48" s="64" t="s">
        <v>105</v>
      </c>
      <c r="K48" s="64" t="s">
        <v>106</v>
      </c>
      <c r="L48" s="64" t="s">
        <v>107</v>
      </c>
      <c r="M48" s="64" t="s">
        <v>582</v>
      </c>
      <c r="N48" s="64" t="s">
        <v>581</v>
      </c>
      <c r="O48" s="64" t="s">
        <v>579</v>
      </c>
      <c r="P48" s="64" t="s">
        <v>580</v>
      </c>
    </row>
    <row r="49" spans="2:16" ht="24.75" customHeight="1">
      <c r="B49" s="485" t="s">
        <v>383</v>
      </c>
      <c r="D49" s="47"/>
      <c r="E49" s="51" t="s">
        <v>108</v>
      </c>
      <c r="F49" s="542" t="s">
        <v>103</v>
      </c>
      <c r="G49" s="64" t="s">
        <v>103</v>
      </c>
      <c r="H49" s="54">
        <v>1</v>
      </c>
      <c r="I49" s="541">
        <v>0.81</v>
      </c>
      <c r="J49" s="541">
        <v>1.49</v>
      </c>
      <c r="K49" s="541">
        <v>0.84</v>
      </c>
      <c r="L49" s="541">
        <v>1.0900000000000001</v>
      </c>
      <c r="M49" s="541">
        <v>0.57999999999999996</v>
      </c>
      <c r="N49" s="541">
        <v>0.55000000000000004</v>
      </c>
      <c r="O49" s="541">
        <v>0.41</v>
      </c>
      <c r="P49" s="541">
        <v>0.31</v>
      </c>
    </row>
    <row r="50" spans="2:16" ht="24.75" customHeight="1">
      <c r="B50" s="66" t="s">
        <v>109</v>
      </c>
      <c r="C50" s="67">
        <f>C47*0.475</f>
        <v>0</v>
      </c>
      <c r="D50" s="66" t="s">
        <v>110</v>
      </c>
      <c r="E50" s="65" t="s">
        <v>111</v>
      </c>
      <c r="F50" s="68" t="s">
        <v>103</v>
      </c>
      <c r="H50" s="7" t="s">
        <v>653</v>
      </c>
      <c r="P50" s="30"/>
    </row>
    <row r="51" spans="2:16" ht="24.75" customHeight="1">
      <c r="B51" s="514"/>
      <c r="D51" s="66"/>
      <c r="E51" s="69"/>
      <c r="F51" s="243">
        <f>IF(AND(F49=G49,F50=H48),F44*H49,IF(AND(F49=G49,F50=I48),F44*I49,IF(AND(F49=G49,F50=J48),F44*J49,IF(AND(F49=G49,F50=K48),F44*K49,IF(AND(F49=G49,F50=L48),F44*L49,IF(AND(F49=G49,F50=M48),F44*M49,IF(AND(F49=G49,F50=N48),F44*N49,IF(AND(F49=G49,F50=O48),F44*O49,IF(AND(F49=G49,F50=P48),F44*P49,IF(AND(F49=F50),F44*1,"errore o dati mancanti"))))))))))</f>
        <v>0</v>
      </c>
      <c r="H51" s="4" t="s">
        <v>654</v>
      </c>
      <c r="P51" s="30"/>
    </row>
    <row r="52" spans="2:16" ht="24.75" customHeight="1">
      <c r="B52" s="515"/>
      <c r="C52" s="47"/>
      <c r="D52" s="47"/>
      <c r="E52" s="597" t="s">
        <v>656</v>
      </c>
      <c r="F52" s="60"/>
      <c r="H52" s="4" t="s">
        <v>655</v>
      </c>
      <c r="P52" s="30"/>
    </row>
    <row r="53" spans="2:16" ht="24.75" customHeight="1">
      <c r="B53" s="516"/>
      <c r="C53" s="47"/>
      <c r="D53" s="47"/>
      <c r="E53" s="598" t="s">
        <v>657</v>
      </c>
      <c r="F53" s="58"/>
      <c r="G53" s="233"/>
      <c r="H53" s="233"/>
      <c r="I53" s="233"/>
      <c r="J53" s="233"/>
      <c r="K53" s="233"/>
      <c r="L53" s="233"/>
      <c r="M53" s="233"/>
      <c r="N53" s="233"/>
      <c r="O53" s="233"/>
      <c r="P53" s="234"/>
    </row>
    <row r="54" spans="2:16" ht="24.75" customHeight="1"/>
    <row r="55" spans="2:16" ht="24.75" customHeight="1">
      <c r="B55" s="6" t="s">
        <v>112</v>
      </c>
    </row>
    <row r="56" spans="2:16" ht="24.75" customHeight="1">
      <c r="B56" s="70" t="s">
        <v>113</v>
      </c>
      <c r="C56" s="71">
        <f>C50*(100+G28)/100</f>
        <v>0</v>
      </c>
      <c r="D56" s="72" t="s">
        <v>110</v>
      </c>
    </row>
    <row r="57" spans="2:16" ht="24.75" customHeight="1">
      <c r="B57" s="44" t="s">
        <v>114</v>
      </c>
      <c r="E57" s="73"/>
    </row>
    <row r="58" spans="2:16" ht="24.75" customHeight="1">
      <c r="B58" s="75" t="s">
        <v>115</v>
      </c>
    </row>
    <row r="59" spans="2:16" ht="24.75" customHeight="1">
      <c r="B59" s="75" t="s">
        <v>116</v>
      </c>
    </row>
    <row r="60" spans="2:16" ht="24.75" customHeight="1" thickBot="1"/>
    <row r="61" spans="2:16" ht="24.75" customHeight="1">
      <c r="B61" s="76" t="s">
        <v>117</v>
      </c>
      <c r="C61" s="77"/>
      <c r="D61" s="77"/>
      <c r="E61" s="77"/>
      <c r="F61" s="78"/>
      <c r="G61" s="78"/>
      <c r="H61" s="79"/>
    </row>
    <row r="62" spans="2:16" ht="24.75" customHeight="1">
      <c r="B62" s="80" t="s">
        <v>118</v>
      </c>
      <c r="F62" s="81"/>
      <c r="G62" s="81"/>
      <c r="H62" s="82"/>
    </row>
    <row r="63" spans="2:16" s="44" customFormat="1" ht="24.75" customHeight="1">
      <c r="B63" s="83" t="s">
        <v>119</v>
      </c>
      <c r="F63" s="84" t="str">
        <f>IF(H73&gt;25,"&gt; 25 €/mq, pertanto:", "&lt; 25 €/mq, pertanto:")</f>
        <v>&lt; 25 €/mq, pertanto:</v>
      </c>
      <c r="G63" s="70" t="s">
        <v>120</v>
      </c>
      <c r="H63" s="85" t="str">
        <f>IF(H73&lt;25,"25",H73)</f>
        <v>25</v>
      </c>
    </row>
    <row r="64" spans="2:16" ht="24.75" customHeight="1">
      <c r="B64" s="86" t="s">
        <v>114</v>
      </c>
      <c r="H64" s="87"/>
      <c r="K64" s="88"/>
    </row>
    <row r="65" spans="2:11" ht="24.75" customHeight="1">
      <c r="B65" s="89" t="s">
        <v>121</v>
      </c>
      <c r="H65" s="87"/>
    </row>
    <row r="66" spans="2:11" ht="24.75" customHeight="1">
      <c r="B66" s="89" t="s">
        <v>122</v>
      </c>
      <c r="H66" s="90"/>
    </row>
    <row r="67" spans="2:11" ht="24.75" customHeight="1">
      <c r="B67" s="856" t="s">
        <v>123</v>
      </c>
      <c r="C67" s="857"/>
      <c r="D67" s="857"/>
      <c r="E67" s="857"/>
      <c r="F67" s="857"/>
      <c r="G67" s="857"/>
      <c r="H67" s="91"/>
    </row>
    <row r="68" spans="2:11" s="44" customFormat="1" ht="24.75" customHeight="1">
      <c r="B68" s="83"/>
      <c r="C68" s="92" t="s">
        <v>124</v>
      </c>
      <c r="D68" s="93" t="s">
        <v>125</v>
      </c>
      <c r="E68" s="70" t="s">
        <v>126</v>
      </c>
      <c r="F68" s="72">
        <f>IF(D68="SI",20,IF(D68="NO",H88))</f>
        <v>5</v>
      </c>
      <c r="G68" s="94">
        <v>0</v>
      </c>
      <c r="H68" s="95" t="s">
        <v>125</v>
      </c>
    </row>
    <row r="69" spans="2:11" ht="24.75" customHeight="1">
      <c r="B69" s="89" t="s">
        <v>127</v>
      </c>
      <c r="C69" s="96"/>
      <c r="D69" s="96"/>
      <c r="E69" s="96"/>
      <c r="F69" s="97"/>
      <c r="G69" s="94">
        <v>35</v>
      </c>
      <c r="H69" s="95" t="s">
        <v>128</v>
      </c>
      <c r="J69" s="371"/>
    </row>
    <row r="70" spans="2:11" ht="50.1" customHeight="1">
      <c r="B70" s="843" t="s">
        <v>557</v>
      </c>
      <c r="C70" s="844"/>
      <c r="D70" s="844"/>
      <c r="E70" s="844"/>
      <c r="F70" s="844"/>
      <c r="G70" s="845"/>
      <c r="H70" s="375" t="s">
        <v>125</v>
      </c>
    </row>
    <row r="71" spans="2:11" ht="24.75" customHeight="1" thickBot="1">
      <c r="B71" s="98"/>
      <c r="C71" s="99"/>
      <c r="D71" s="99"/>
      <c r="E71" s="99"/>
      <c r="F71" s="99"/>
      <c r="G71" s="99"/>
      <c r="H71" s="100"/>
    </row>
    <row r="72" spans="2:11" ht="30" customHeight="1" thickBot="1">
      <c r="B72" s="101"/>
      <c r="C72" s="102" t="s">
        <v>129</v>
      </c>
      <c r="D72" s="458">
        <f>IF(H70="SI",D74,IF(H70="NO",D73))</f>
        <v>0</v>
      </c>
      <c r="E72" s="103"/>
      <c r="F72" s="104"/>
      <c r="G72" s="105"/>
      <c r="H72" s="106"/>
      <c r="K72" s="107"/>
    </row>
    <row r="73" spans="2:11" s="108" customFormat="1" ht="24.75" hidden="1" customHeight="1">
      <c r="C73" s="109" t="s">
        <v>130</v>
      </c>
      <c r="D73" s="110">
        <f>(H63*C20*(1-0/100))</f>
        <v>0</v>
      </c>
      <c r="E73" s="111"/>
      <c r="G73" s="112"/>
      <c r="H73" s="113">
        <f>C56*F68/100</f>
        <v>0</v>
      </c>
      <c r="K73" s="114"/>
    </row>
    <row r="74" spans="2:11" s="108" customFormat="1" ht="24.75" hidden="1" customHeight="1">
      <c r="C74" s="109" t="s">
        <v>130</v>
      </c>
      <c r="D74" s="110">
        <f>(H63*C20*(1-0/100))*(1-G69/100)</f>
        <v>0</v>
      </c>
      <c r="E74" s="111"/>
      <c r="G74" s="112"/>
      <c r="H74" s="113"/>
      <c r="K74" s="114"/>
    </row>
    <row r="75" spans="2:11" s="108" customFormat="1" ht="24.75" customHeight="1">
      <c r="C75" s="109"/>
      <c r="D75" s="110"/>
      <c r="E75" s="111"/>
      <c r="F75" s="111"/>
      <c r="G75" s="111"/>
      <c r="H75" s="194" t="s">
        <v>384</v>
      </c>
      <c r="K75" s="114"/>
    </row>
    <row r="76" spans="2:11" s="344" customFormat="1">
      <c r="B76" s="345" t="s">
        <v>131</v>
      </c>
    </row>
    <row r="77" spans="2:11" s="344" customFormat="1" ht="22.5" customHeight="1">
      <c r="B77" s="346" t="s">
        <v>132</v>
      </c>
      <c r="C77" s="346" t="s">
        <v>133</v>
      </c>
      <c r="D77" s="346" t="s">
        <v>52</v>
      </c>
    </row>
    <row r="78" spans="2:11" s="344" customFormat="1">
      <c r="B78" s="346" t="s">
        <v>134</v>
      </c>
      <c r="C78" s="346">
        <v>5</v>
      </c>
      <c r="D78" s="346" t="str">
        <f>IF(C56&lt;=500,"1","0")</f>
        <v>1</v>
      </c>
    </row>
    <row r="79" spans="2:11" s="344" customFormat="1">
      <c r="B79" s="346" t="s">
        <v>135</v>
      </c>
      <c r="C79" s="346">
        <v>6</v>
      </c>
      <c r="D79" s="346" t="str">
        <f>IF(AND(C56&gt;500,C56&lt;=1000),"1","0")</f>
        <v>0</v>
      </c>
    </row>
    <row r="80" spans="2:11" s="344" customFormat="1">
      <c r="B80" s="346" t="s">
        <v>136</v>
      </c>
      <c r="C80" s="346">
        <v>7</v>
      </c>
      <c r="D80" s="346" t="str">
        <f>IF(AND(C56&gt;1000,C56&lt;=1500),"1","0")</f>
        <v>0</v>
      </c>
    </row>
    <row r="81" spans="2:8" s="344" customFormat="1">
      <c r="B81" s="346" t="s">
        <v>137</v>
      </c>
      <c r="C81" s="346">
        <v>8</v>
      </c>
      <c r="D81" s="346" t="str">
        <f>IF(AND(C56&gt;1500,C56&lt;=2000),"1","0")</f>
        <v>0</v>
      </c>
    </row>
    <row r="82" spans="2:8" s="344" customFormat="1">
      <c r="B82" s="346" t="s">
        <v>138</v>
      </c>
      <c r="C82" s="346">
        <v>9</v>
      </c>
      <c r="D82" s="346" t="str">
        <f>IF(AND(C56&gt;2000,C56&lt;=2500),"1","0")</f>
        <v>0</v>
      </c>
    </row>
    <row r="83" spans="2:8" s="344" customFormat="1">
      <c r="B83" s="346" t="s">
        <v>139</v>
      </c>
      <c r="C83" s="346">
        <v>10</v>
      </c>
      <c r="D83" s="346" t="str">
        <f>IF(AND(C56&gt;2500,C56&lt;=3000),"1","0")</f>
        <v>0</v>
      </c>
    </row>
    <row r="84" spans="2:8" s="344" customFormat="1">
      <c r="B84" s="346" t="s">
        <v>140</v>
      </c>
      <c r="C84" s="346">
        <v>11</v>
      </c>
      <c r="D84" s="346" t="str">
        <f>IF(AND(C56&gt;3000,C56&lt;=3500),"1","0")</f>
        <v>0</v>
      </c>
    </row>
    <row r="85" spans="2:8" s="344" customFormat="1">
      <c r="B85" s="346" t="s">
        <v>141</v>
      </c>
      <c r="C85" s="346">
        <v>12</v>
      </c>
      <c r="D85" s="346" t="str">
        <f>IF(AND(C56&gt;3500,C56&lt;=4000),"1","0")</f>
        <v>0</v>
      </c>
    </row>
    <row r="86" spans="2:8" s="344" customFormat="1">
      <c r="B86" s="346" t="s">
        <v>142</v>
      </c>
      <c r="C86" s="346">
        <v>13</v>
      </c>
      <c r="D86" s="346" t="str">
        <f>IF(AND(C56&gt;4000,C56&lt;=4500),"1","0")</f>
        <v>0</v>
      </c>
    </row>
    <row r="87" spans="2:8" s="344" customFormat="1">
      <c r="B87" s="346" t="s">
        <v>143</v>
      </c>
      <c r="C87" s="346">
        <v>14</v>
      </c>
      <c r="D87" s="346" t="str">
        <f>IF(C56&gt;4500,"1","0")</f>
        <v>0</v>
      </c>
    </row>
    <row r="88" spans="2:8" s="344" customFormat="1">
      <c r="B88" s="347"/>
      <c r="C88" s="347"/>
      <c r="D88" s="347"/>
      <c r="G88" s="348" t="s">
        <v>126</v>
      </c>
      <c r="H88" s="348">
        <f>C78*D78+C79*D79+C80*D80+C81*D81+C82*D82+C83*D83+C84*D84+C85*D85+C86*D86+C87*D87</f>
        <v>5</v>
      </c>
    </row>
    <row r="89" spans="2:8" s="344" customFormat="1" ht="10.5" customHeight="1"/>
    <row r="90" spans="2:8" s="344" customFormat="1">
      <c r="B90" s="346" t="s">
        <v>66</v>
      </c>
      <c r="C90" s="346" t="s">
        <v>144</v>
      </c>
      <c r="D90" s="346" t="s">
        <v>145</v>
      </c>
      <c r="E90" s="346" t="s">
        <v>52</v>
      </c>
      <c r="G90" s="349" t="s">
        <v>64</v>
      </c>
      <c r="H90" s="348">
        <f>E91*C91+E92*C92+E93*C93+E94*C94+E95*C95+E96*C96+E97*C97+E98*C98+E99*C99+E100*C100+E101*C101</f>
        <v>1</v>
      </c>
    </row>
    <row r="91" spans="2:8" s="344" customFormat="1">
      <c r="B91" s="350" t="s">
        <v>68</v>
      </c>
      <c r="C91" s="351">
        <v>1</v>
      </c>
      <c r="D91" s="351">
        <v>0</v>
      </c>
      <c r="E91" s="351" t="str">
        <f>IF(C28&lt;=5,"1","0")</f>
        <v>1</v>
      </c>
      <c r="G91" s="349" t="s">
        <v>65</v>
      </c>
      <c r="H91" s="352">
        <f>E91*D91+E92*D92+E93*D93+E94*D94+E95*D95+E96*D96+E97*D97+E98*D98+E99*D99+E100*D100+E101*D101</f>
        <v>0</v>
      </c>
    </row>
    <row r="92" spans="2:8" s="344" customFormat="1">
      <c r="B92" s="350" t="s">
        <v>72</v>
      </c>
      <c r="C92" s="351">
        <v>2</v>
      </c>
      <c r="D92" s="351">
        <v>5</v>
      </c>
      <c r="E92" s="351" t="str">
        <f>IF(AND(C28&gt;5,C28&lt;=10),"1","0")</f>
        <v>0</v>
      </c>
    </row>
    <row r="93" spans="2:8" s="344" customFormat="1">
      <c r="B93" s="350" t="s">
        <v>76</v>
      </c>
      <c r="C93" s="351">
        <v>3</v>
      </c>
      <c r="D93" s="351">
        <v>10</v>
      </c>
      <c r="E93" s="351" t="str">
        <f>IF(AND(C28&gt;10,C28&lt;=15),"1","0")</f>
        <v>0</v>
      </c>
    </row>
    <row r="94" spans="2:8" s="344" customFormat="1">
      <c r="B94" s="350" t="s">
        <v>80</v>
      </c>
      <c r="C94" s="351">
        <v>4</v>
      </c>
      <c r="D94" s="351">
        <v>15</v>
      </c>
      <c r="E94" s="351" t="str">
        <f>IF(AND(C28&gt;15,C28&lt;=20),"1","0")</f>
        <v>0</v>
      </c>
    </row>
    <row r="95" spans="2:8" s="344" customFormat="1">
      <c r="B95" s="350" t="s">
        <v>84</v>
      </c>
      <c r="C95" s="351">
        <v>5</v>
      </c>
      <c r="D95" s="351">
        <v>20</v>
      </c>
      <c r="E95" s="351" t="str">
        <f>IF(AND(C28&gt;20,C28&lt;=25),"1","0")</f>
        <v>0</v>
      </c>
    </row>
    <row r="96" spans="2:8" s="344" customFormat="1">
      <c r="B96" s="350" t="s">
        <v>88</v>
      </c>
      <c r="C96" s="351">
        <v>6</v>
      </c>
      <c r="D96" s="351">
        <v>25</v>
      </c>
      <c r="E96" s="351" t="str">
        <f>IF(AND(C28&gt;25,C28&lt;=30),"1","0")</f>
        <v>0</v>
      </c>
    </row>
    <row r="97" spans="2:9" s="344" customFormat="1">
      <c r="B97" s="350" t="s">
        <v>70</v>
      </c>
      <c r="C97" s="351">
        <v>7</v>
      </c>
      <c r="D97" s="351">
        <v>30</v>
      </c>
      <c r="E97" s="351" t="str">
        <f>IF(AND(C28&gt;30,C28&lt;=35),"1","0")</f>
        <v>0</v>
      </c>
    </row>
    <row r="98" spans="2:9" s="344" customFormat="1">
      <c r="B98" s="350" t="s">
        <v>74</v>
      </c>
      <c r="C98" s="351">
        <v>8</v>
      </c>
      <c r="D98" s="351">
        <v>35</v>
      </c>
      <c r="E98" s="351" t="str">
        <f>IF(AND(C28&gt;35,C28&lt;=40),"1","0")</f>
        <v>0</v>
      </c>
    </row>
    <row r="99" spans="2:9" s="344" customFormat="1">
      <c r="B99" s="350" t="s">
        <v>78</v>
      </c>
      <c r="C99" s="351">
        <v>9</v>
      </c>
      <c r="D99" s="351">
        <v>40</v>
      </c>
      <c r="E99" s="351" t="str">
        <f>IF(AND(C28&gt;40,C28&lt;=45),"1","0")</f>
        <v>0</v>
      </c>
    </row>
    <row r="100" spans="2:9" s="344" customFormat="1">
      <c r="B100" s="350" t="s">
        <v>82</v>
      </c>
      <c r="C100" s="351">
        <v>10</v>
      </c>
      <c r="D100" s="351">
        <v>45</v>
      </c>
      <c r="E100" s="351" t="str">
        <f>IF(AND(C28&gt;45,C28&lt;=50),"1","0")</f>
        <v>0</v>
      </c>
    </row>
    <row r="101" spans="2:9" s="344" customFormat="1">
      <c r="B101" s="350" t="s">
        <v>86</v>
      </c>
      <c r="C101" s="351">
        <v>11</v>
      </c>
      <c r="D101" s="351">
        <v>50</v>
      </c>
      <c r="E101" s="351" t="str">
        <f>IF(C28&gt;50,"1","0")</f>
        <v>0</v>
      </c>
    </row>
    <row r="102" spans="2:9">
      <c r="E102" s="115"/>
      <c r="F102" s="115"/>
      <c r="G102" s="115"/>
      <c r="H102" s="115"/>
      <c r="I102" s="115"/>
    </row>
  </sheetData>
  <sheetProtection algorithmName="SHA-512" hashValue="8lFcCqwtQciYJdNZ5D8oja03usaXxiKXJEEazOkPpGjvMzTArXbOEYgY3YzTGQ6vuzXPuYwnyug1KsDbrTflDQ==" saltValue="71q1vUrgXsAv7cDVDV4WkA==" spinCount="100000" sheet="1" objects="1" scenarios="1" selectLockedCells="1"/>
  <mergeCells count="20">
    <mergeCell ref="B70:G70"/>
    <mergeCell ref="G42:I42"/>
    <mergeCell ref="G43:G45"/>
    <mergeCell ref="E47:F48"/>
    <mergeCell ref="G47:G48"/>
    <mergeCell ref="B67:G67"/>
    <mergeCell ref="B42:C42"/>
    <mergeCell ref="E42:F42"/>
    <mergeCell ref="H47:P47"/>
    <mergeCell ref="D21:E21"/>
    <mergeCell ref="D22:E22"/>
    <mergeCell ref="D23:E23"/>
    <mergeCell ref="D24:E24"/>
    <mergeCell ref="C39:E39"/>
    <mergeCell ref="C2:H2"/>
    <mergeCell ref="C3:H3"/>
    <mergeCell ref="B5:H5"/>
    <mergeCell ref="D18:E20"/>
    <mergeCell ref="F18:F20"/>
    <mergeCell ref="G18:G20"/>
  </mergeCells>
  <conditionalFormatting sqref="C47">
    <cfRule type="expression" dxfId="39" priority="1">
      <formula>$D$11="errore o dati mancanti"</formula>
    </cfRule>
  </conditionalFormatting>
  <conditionalFormatting sqref="F49:F50">
    <cfRule type="expression" dxfId="38" priority="2">
      <formula>#REF!&lt;&gt;"Residenziale"</formula>
    </cfRule>
  </conditionalFormatting>
  <dataValidations count="3">
    <dataValidation type="list" allowBlank="1" showInputMessage="1" showErrorMessage="1" sqref="F49:F50">
      <formula1>$H$48:$P$48</formula1>
    </dataValidation>
    <dataValidation type="list" allowBlank="1" showInputMessage="1" showErrorMessage="1" sqref="F43">
      <formula1>$H$43:$H$45</formula1>
    </dataValidation>
    <dataValidation type="list" allowBlank="1" showInputMessage="1" showErrorMessage="1" sqref="D68">
      <formula1>$H$68:$H$69</formula1>
    </dataValidation>
  </dataValidations>
  <hyperlinks>
    <hyperlink ref="C39" r:id="rId1"/>
    <hyperlink ref="C40" r:id="rId2"/>
  </hyperlinks>
  <pageMargins left="0.7" right="0.7" top="0.75" bottom="0.75" header="0.3" footer="0.3"/>
  <pageSetup paperSize="8" scale="71" orientation="portrait" horizontalDpi="1200" verticalDpi="120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B1:AD58"/>
  <sheetViews>
    <sheetView showGridLines="0" topLeftCell="A4" zoomScaleNormal="100" workbookViewId="0">
      <selection activeCell="Q25" sqref="Q25"/>
    </sheetView>
  </sheetViews>
  <sheetFormatPr defaultColWidth="9.140625" defaultRowHeight="12.75"/>
  <cols>
    <col min="1" max="1" width="5.7109375" style="4" customWidth="1"/>
    <col min="2" max="2" width="24.85546875" style="4" customWidth="1"/>
    <col min="3" max="3" width="13.85546875" style="4" customWidth="1"/>
    <col min="4" max="4" width="7.28515625" style="4" customWidth="1"/>
    <col min="5" max="5" width="14.5703125" style="4" customWidth="1"/>
    <col min="6" max="7" width="7.28515625" style="4" customWidth="1"/>
    <col min="8" max="8" width="14.5703125" style="4" customWidth="1"/>
    <col min="9" max="10" width="7.28515625" style="4" customWidth="1"/>
    <col min="11" max="11" width="12.5703125" style="4" customWidth="1"/>
    <col min="12" max="13" width="7.28515625" style="4" customWidth="1"/>
    <col min="14" max="14" width="9.42578125" style="4" customWidth="1"/>
    <col min="15" max="15" width="8.7109375" style="4" customWidth="1"/>
    <col min="16" max="16" width="25.7109375" style="4" customWidth="1"/>
    <col min="17" max="17" width="14.28515625" style="4" customWidth="1"/>
    <col min="18" max="18" width="3.7109375" style="4" customWidth="1"/>
    <col min="19" max="19" width="25.7109375" style="4" customWidth="1"/>
    <col min="20" max="20" width="15.85546875" style="4" customWidth="1"/>
    <col min="21" max="27" width="12.7109375" style="4" customWidth="1"/>
    <col min="28" max="16384" width="9.140625" style="4"/>
  </cols>
  <sheetData>
    <row r="1" spans="2:16" ht="13.5" thickBot="1"/>
    <row r="2" spans="2:16" ht="35.1" customHeight="1">
      <c r="B2" s="318" t="s">
        <v>342</v>
      </c>
      <c r="C2" s="822" t="s">
        <v>381</v>
      </c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6" ht="35.1" customHeight="1" thickBot="1">
      <c r="B3" s="319" t="s">
        <v>336</v>
      </c>
      <c r="C3" s="825" t="s">
        <v>552</v>
      </c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7"/>
    </row>
    <row r="4" spans="2:16" ht="9.9499999999999993" customHeight="1"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</row>
    <row r="5" spans="2:16" ht="24.95" customHeight="1">
      <c r="B5" s="828" t="s">
        <v>24</v>
      </c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3"/>
    </row>
    <row r="6" spans="2:16" ht="24.95" customHeight="1">
      <c r="B6" s="6" t="s">
        <v>147</v>
      </c>
    </row>
    <row r="7" spans="2:16" ht="24.95" customHeight="1">
      <c r="B7" s="7" t="s">
        <v>356</v>
      </c>
    </row>
    <row r="8" spans="2:16" s="9" customFormat="1" ht="24.95" customHeight="1">
      <c r="B8" s="864" t="s">
        <v>148</v>
      </c>
      <c r="C8" s="864"/>
      <c r="D8" s="864" t="s">
        <v>149</v>
      </c>
      <c r="E8" s="864"/>
      <c r="F8" s="864"/>
      <c r="G8" s="864"/>
      <c r="H8" s="864"/>
      <c r="I8" s="864"/>
      <c r="J8" s="864"/>
      <c r="K8" s="864"/>
      <c r="L8" s="864"/>
      <c r="M8" s="864"/>
      <c r="N8" s="864"/>
    </row>
    <row r="9" spans="2:16" s="9" customFormat="1" ht="24.95" customHeight="1">
      <c r="B9" s="675"/>
      <c r="C9" s="675"/>
      <c r="D9" s="116">
        <v>10</v>
      </c>
      <c r="E9" s="116">
        <v>20</v>
      </c>
      <c r="F9" s="116">
        <v>30</v>
      </c>
      <c r="G9" s="116">
        <v>40</v>
      </c>
      <c r="H9" s="116">
        <v>50</v>
      </c>
      <c r="I9" s="116">
        <v>60</v>
      </c>
      <c r="J9" s="116">
        <v>70</v>
      </c>
      <c r="K9" s="116">
        <v>80</v>
      </c>
      <c r="L9" s="116">
        <v>90</v>
      </c>
      <c r="M9" s="116">
        <v>100</v>
      </c>
      <c r="N9" s="456" t="s">
        <v>386</v>
      </c>
      <c r="P9" s="577" t="s">
        <v>626</v>
      </c>
    </row>
    <row r="10" spans="2:16" s="12" customFormat="1" ht="15" customHeight="1">
      <c r="B10" s="117" t="s">
        <v>150</v>
      </c>
      <c r="C10" s="457">
        <v>0.05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456">
        <f>0.05*D10*0.1+0.05*E10*0.2+0.05*F10*0.3+0.05*G10*0.4+0.05*H10*0.5+0.05*I10*0.6+0.05*J10*0.7+0.05*K10*0.8+0.05*L10*0.9+0.05*M10</f>
        <v>0</v>
      </c>
      <c r="P10" s="577" t="s">
        <v>627</v>
      </c>
    </row>
    <row r="11" spans="2:16" s="9" customFormat="1" ht="15" customHeight="1">
      <c r="B11" s="117" t="s">
        <v>151</v>
      </c>
      <c r="C11" s="874">
        <v>0.2</v>
      </c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65">
        <f>0.2*D11*0.1+0.2*E11*0.2+0.2*F11*0.3+0.2*G11*0.4+0.2*H11*0.5+0.2*I11*0.6+0.2*J11*0.7+0.2*K11*0.8+0.2*L11*0.9+0.2*M11</f>
        <v>0</v>
      </c>
      <c r="P11" s="577" t="s">
        <v>511</v>
      </c>
    </row>
    <row r="12" spans="2:16" s="9" customFormat="1" ht="15" customHeight="1">
      <c r="B12" s="117" t="s">
        <v>152</v>
      </c>
      <c r="C12" s="874"/>
      <c r="D12" s="872"/>
      <c r="E12" s="872"/>
      <c r="F12" s="872"/>
      <c r="G12" s="872"/>
      <c r="H12" s="872"/>
      <c r="I12" s="872"/>
      <c r="J12" s="872"/>
      <c r="K12" s="872"/>
      <c r="L12" s="872"/>
      <c r="M12" s="872"/>
      <c r="N12" s="865"/>
      <c r="P12" s="577" t="s">
        <v>624</v>
      </c>
    </row>
    <row r="13" spans="2:16" s="9" customFormat="1" ht="15" customHeight="1">
      <c r="B13" s="117" t="s">
        <v>153</v>
      </c>
      <c r="C13" s="874"/>
      <c r="D13" s="873"/>
      <c r="E13" s="873"/>
      <c r="F13" s="873"/>
      <c r="G13" s="873"/>
      <c r="H13" s="873"/>
      <c r="I13" s="873"/>
      <c r="J13" s="873"/>
      <c r="K13" s="873"/>
      <c r="L13" s="873"/>
      <c r="M13" s="873"/>
      <c r="N13" s="865"/>
      <c r="P13" s="577" t="s">
        <v>628</v>
      </c>
    </row>
    <row r="14" spans="2:16" s="9" customFormat="1" ht="15" customHeight="1">
      <c r="B14" s="117" t="s">
        <v>154</v>
      </c>
      <c r="C14" s="457">
        <v>0.1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456">
        <f>0.1*D14*0.1+0.1*E14*0.2+0.1*F14*0.3+0.1*G14*0.4+0.1*H14*0.5+0.1*I14*0.6+0.1*J14*0.7+0.1*K14*0.8+0.1*L14*0.9+0.1*M14</f>
        <v>0</v>
      </c>
    </row>
    <row r="15" spans="2:16" s="9" customFormat="1" ht="15" customHeight="1">
      <c r="B15" s="117" t="s">
        <v>155</v>
      </c>
      <c r="C15" s="457">
        <v>0.05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456">
        <f>0.05*D15*0.1+0.05*E15*0.2+0.05*F15*0.3+0.05*G15*0.4+0.05*H15*0.5+0.05*I15*0.6+0.05*J15*0.7+0.05*K15*0.8+0.05*L15*0.9+0.05*M15</f>
        <v>0</v>
      </c>
      <c r="O15" s="119"/>
    </row>
    <row r="16" spans="2:16" s="9" customFormat="1" ht="15" customHeight="1">
      <c r="B16" s="117" t="s">
        <v>156</v>
      </c>
      <c r="C16" s="457">
        <v>0.1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456">
        <f>0.1*D16*0.1+0.1*E16*0.2+0.1*F16*0.3+0.1*G16*0.4+0.1*H16*0.5+0.1*I16*0.6+0.1*J16*0.7+0.1*K16*0.8+0.1*L16*0.9+0.1*M16</f>
        <v>0</v>
      </c>
      <c r="O16" s="119">
        <v>1</v>
      </c>
    </row>
    <row r="17" spans="2:30" s="122" customFormat="1" ht="15" customHeight="1">
      <c r="B17" s="120" t="s">
        <v>157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866" t="s">
        <v>158</v>
      </c>
      <c r="M17" s="867"/>
      <c r="N17" s="455">
        <f>SUM(N10:N16)</f>
        <v>0</v>
      </c>
    </row>
    <row r="18" spans="2:30" s="9" customFormat="1" ht="15" customHeight="1">
      <c r="B18" s="120" t="s">
        <v>159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866" t="s">
        <v>160</v>
      </c>
      <c r="M18" s="867"/>
      <c r="N18" s="455">
        <f>N17</f>
        <v>0</v>
      </c>
    </row>
    <row r="19" spans="2:30" s="9" customFormat="1" ht="15" customHeight="1">
      <c r="B19" s="868" t="s">
        <v>161</v>
      </c>
      <c r="C19" s="868"/>
      <c r="D19" s="868"/>
      <c r="E19" s="868"/>
      <c r="F19" s="868"/>
      <c r="G19" s="868"/>
      <c r="H19" s="868"/>
      <c r="I19" s="868"/>
      <c r="J19" s="868"/>
      <c r="K19" s="868"/>
      <c r="L19" s="868"/>
      <c r="M19" s="868"/>
      <c r="N19" s="455">
        <f>N17+N18</f>
        <v>0</v>
      </c>
    </row>
    <row r="20" spans="2:30" s="9" customFormat="1" ht="15" customHeight="1">
      <c r="B20" s="341"/>
      <c r="K20" s="123"/>
      <c r="L20" s="124"/>
      <c r="M20" s="124"/>
      <c r="N20" s="125" t="str">
        <f>IF(N17&lt;=0.5,"max 50%VERIFICATO","max 50 % NON VERIFICATO")</f>
        <v>max 50%VERIFICATO</v>
      </c>
    </row>
    <row r="21" spans="2:30" s="9" customFormat="1" ht="24.95" customHeight="1">
      <c r="B21" s="123"/>
      <c r="K21" s="123"/>
      <c r="L21" s="124"/>
      <c r="M21" s="124"/>
      <c r="N21" s="125"/>
    </row>
    <row r="22" spans="2:30" ht="24.75" customHeight="1">
      <c r="B22" s="6" t="s">
        <v>162</v>
      </c>
      <c r="L22" s="3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30" ht="24.75" customHeight="1">
      <c r="B23" s="48" t="s">
        <v>622</v>
      </c>
      <c r="C23" s="869" t="s">
        <v>91</v>
      </c>
      <c r="D23" s="870"/>
      <c r="E23" s="870"/>
      <c r="F23" s="870"/>
      <c r="G23" s="870"/>
      <c r="H23" s="870"/>
      <c r="L23" s="32"/>
      <c r="P23" s="654" t="s">
        <v>396</v>
      </c>
      <c r="Q23" s="858"/>
      <c r="R23" s="44"/>
      <c r="S23" s="879" t="s">
        <v>457</v>
      </c>
      <c r="T23" s="880"/>
      <c r="U23" s="846" t="s">
        <v>93</v>
      </c>
      <c r="V23" s="847"/>
      <c r="W23" s="848"/>
      <c r="X23" s="126"/>
      <c r="Y23" s="126"/>
      <c r="Z23" s="126"/>
    </row>
    <row r="24" spans="2:30" ht="24.75" customHeight="1">
      <c r="B24" s="48" t="s">
        <v>621</v>
      </c>
      <c r="C24" s="574" t="s">
        <v>620</v>
      </c>
      <c r="D24" s="575"/>
      <c r="E24" s="575"/>
      <c r="F24" s="84"/>
      <c r="G24" s="84"/>
      <c r="H24" s="84"/>
      <c r="L24" s="32"/>
      <c r="P24" s="127"/>
      <c r="Q24" s="128"/>
      <c r="R24" s="129"/>
      <c r="S24" s="130" t="s">
        <v>94</v>
      </c>
      <c r="T24" s="52" t="s">
        <v>95</v>
      </c>
      <c r="U24" s="849" t="s">
        <v>96</v>
      </c>
      <c r="V24" s="53" t="s">
        <v>97</v>
      </c>
      <c r="W24" s="541">
        <f>'QCC (A)'!I43</f>
        <v>1</v>
      </c>
      <c r="X24" s="126"/>
      <c r="Y24" s="126"/>
      <c r="Z24" s="126"/>
    </row>
    <row r="25" spans="2:30" ht="24.75" customHeight="1">
      <c r="B25" s="131" t="s">
        <v>163</v>
      </c>
      <c r="C25" s="67">
        <f>Q28*0.475</f>
        <v>0</v>
      </c>
      <c r="D25" s="66" t="s">
        <v>110</v>
      </c>
      <c r="E25" s="132" t="str">
        <f>IF(N17&gt;0.5,"ERRORE, RIPETERE STIMA INCIDENZA LAVORI","")</f>
        <v/>
      </c>
      <c r="P25" s="55" t="s">
        <v>98</v>
      </c>
      <c r="Q25" s="56">
        <v>0</v>
      </c>
      <c r="R25" s="129"/>
      <c r="S25" s="376" t="s">
        <v>509</v>
      </c>
      <c r="T25" s="245">
        <f>IF(T24=V24,AVERAGE(Q25:Q26)*W24,IF(T24=V25,AVERAGE(Q25:Q26)*W25,IF(T24=V26,AVERAGE(Q25:Q26)*W26,"errore o dati mancanti")))</f>
        <v>0</v>
      </c>
      <c r="U25" s="850"/>
      <c r="V25" s="53" t="s">
        <v>95</v>
      </c>
      <c r="W25" s="541">
        <f>'QCC (A)'!I44</f>
        <v>1.3</v>
      </c>
      <c r="X25" s="126"/>
      <c r="Y25" s="126"/>
      <c r="Z25" s="126"/>
    </row>
    <row r="26" spans="2:30" ht="24.75" customHeight="1" thickBot="1">
      <c r="B26" s="881"/>
      <c r="C26" s="882"/>
      <c r="D26" s="882"/>
      <c r="E26" s="882"/>
      <c r="F26" s="882"/>
      <c r="G26" s="882"/>
      <c r="H26" s="882"/>
      <c r="I26" s="882"/>
      <c r="J26" s="882"/>
      <c r="K26" s="882"/>
      <c r="L26" s="882"/>
      <c r="M26" s="882"/>
      <c r="N26" s="882"/>
      <c r="P26" s="55" t="s">
        <v>99</v>
      </c>
      <c r="Q26" s="56">
        <v>0</v>
      </c>
      <c r="R26" s="133"/>
      <c r="S26" s="377" t="s">
        <v>510</v>
      </c>
      <c r="T26" s="134"/>
      <c r="U26" s="851"/>
      <c r="V26" s="59" t="s">
        <v>100</v>
      </c>
      <c r="W26" s="541">
        <f>'QCC (A)'!I45</f>
        <v>2</v>
      </c>
      <c r="X26" s="126"/>
      <c r="Y26" s="126"/>
      <c r="Z26" s="126"/>
    </row>
    <row r="27" spans="2:30" ht="24.75" customHeight="1">
      <c r="B27" s="76" t="s">
        <v>164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35"/>
      <c r="P27" s="49"/>
      <c r="Q27" s="50"/>
      <c r="R27" s="129"/>
      <c r="S27" s="2"/>
      <c r="T27" s="2"/>
      <c r="U27" s="126"/>
      <c r="V27" s="1"/>
      <c r="W27" s="126"/>
      <c r="X27" s="126"/>
      <c r="Y27" s="126"/>
      <c r="Z27" s="126"/>
    </row>
    <row r="28" spans="2:30" ht="24.75" customHeight="1">
      <c r="B28" s="883" t="s">
        <v>165</v>
      </c>
      <c r="C28" s="884"/>
      <c r="D28" s="884"/>
      <c r="E28" s="884"/>
      <c r="F28" s="884"/>
      <c r="G28" s="884"/>
      <c r="H28" s="884"/>
      <c r="I28" s="884"/>
      <c r="N28" s="87"/>
      <c r="P28" s="62" t="s">
        <v>101</v>
      </c>
      <c r="Q28" s="63">
        <f>T32</f>
        <v>0</v>
      </c>
      <c r="R28" s="129"/>
      <c r="S28" s="852" t="s">
        <v>518</v>
      </c>
      <c r="T28" s="853"/>
      <c r="U28" s="849" t="s">
        <v>102</v>
      </c>
      <c r="V28" s="846" t="s">
        <v>532</v>
      </c>
      <c r="W28" s="847"/>
      <c r="X28" s="847"/>
      <c r="Y28" s="847"/>
      <c r="Z28" s="847"/>
      <c r="AA28" s="860"/>
      <c r="AB28" s="860"/>
      <c r="AC28" s="860"/>
      <c r="AD28" s="861"/>
    </row>
    <row r="29" spans="2:30" ht="24.75" customHeight="1">
      <c r="B29" s="83" t="s">
        <v>166</v>
      </c>
      <c r="C29" s="44"/>
      <c r="D29" s="44"/>
      <c r="E29" s="44"/>
      <c r="F29" s="44"/>
      <c r="G29" s="44"/>
      <c r="H29" s="44"/>
      <c r="I29" s="44"/>
      <c r="J29" s="44" t="str">
        <f>IF(N43&gt;25,"&gt; 25 €/mq, pertanto:", "&lt; 25 €/mq, pertanto:")</f>
        <v>&lt; 25 €/mq, pertanto:</v>
      </c>
      <c r="K29" s="44"/>
      <c r="L29" s="44"/>
      <c r="M29" s="70" t="s">
        <v>167</v>
      </c>
      <c r="N29" s="136" t="str">
        <f>IF(N43&lt;25,"25",N43)</f>
        <v>25</v>
      </c>
      <c r="P29" s="484" t="s">
        <v>382</v>
      </c>
      <c r="Q29" s="129"/>
      <c r="R29" s="129"/>
      <c r="S29" s="854"/>
      <c r="T29" s="855"/>
      <c r="U29" s="851"/>
      <c r="V29" s="64" t="s">
        <v>103</v>
      </c>
      <c r="W29" s="64" t="s">
        <v>104</v>
      </c>
      <c r="X29" s="64" t="s">
        <v>105</v>
      </c>
      <c r="Y29" s="64" t="s">
        <v>106</v>
      </c>
      <c r="Z29" s="64" t="s">
        <v>107</v>
      </c>
      <c r="AA29" s="64" t="s">
        <v>582</v>
      </c>
      <c r="AB29" s="64" t="s">
        <v>581</v>
      </c>
      <c r="AC29" s="64" t="s">
        <v>579</v>
      </c>
      <c r="AD29" s="64" t="s">
        <v>580</v>
      </c>
    </row>
    <row r="30" spans="2:30" ht="24.75" customHeight="1">
      <c r="B30" s="86" t="s">
        <v>114</v>
      </c>
      <c r="N30" s="87"/>
      <c r="P30" s="485" t="s">
        <v>383</v>
      </c>
      <c r="Q30" s="137"/>
      <c r="R30" s="129"/>
      <c r="S30" s="51" t="s">
        <v>108</v>
      </c>
      <c r="T30" s="542" t="s">
        <v>103</v>
      </c>
      <c r="U30" s="64" t="s">
        <v>103</v>
      </c>
      <c r="V30" s="54">
        <f>'QCC (A)'!H49</f>
        <v>1</v>
      </c>
      <c r="W30" s="541">
        <f>'QCC (A)'!I49</f>
        <v>0.81</v>
      </c>
      <c r="X30" s="541">
        <f>'QCC (A)'!J49</f>
        <v>1.49</v>
      </c>
      <c r="Y30" s="541">
        <f>'QCC (A)'!K49</f>
        <v>0.84</v>
      </c>
      <c r="Z30" s="541">
        <f>'QCC (A)'!L49</f>
        <v>1.0900000000000001</v>
      </c>
      <c r="AA30" s="541">
        <f>'QCC (A)'!M49</f>
        <v>0.57999999999999996</v>
      </c>
      <c r="AB30" s="541">
        <f>'QCC (A)'!N49</f>
        <v>0.55000000000000004</v>
      </c>
      <c r="AC30" s="541">
        <f>'QCC (A)'!O49</f>
        <v>0.41</v>
      </c>
      <c r="AD30" s="541">
        <f>'QCC (A)'!P49</f>
        <v>0.31</v>
      </c>
    </row>
    <row r="31" spans="2:30" ht="24.75" customHeight="1">
      <c r="B31" s="89" t="s">
        <v>168</v>
      </c>
      <c r="N31" s="87"/>
      <c r="P31" s="129"/>
      <c r="Q31" s="129"/>
      <c r="R31" s="129"/>
      <c r="S31" s="65" t="s">
        <v>111</v>
      </c>
      <c r="T31" s="68" t="s">
        <v>103</v>
      </c>
      <c r="V31" s="7" t="s">
        <v>653</v>
      </c>
      <c r="AD31" s="30"/>
    </row>
    <row r="32" spans="2:30" ht="24.75" customHeight="1">
      <c r="B32" s="89" t="s">
        <v>169</v>
      </c>
      <c r="H32" s="43"/>
      <c r="N32" s="87"/>
      <c r="P32" s="129"/>
      <c r="Q32" s="129"/>
      <c r="R32" s="129"/>
      <c r="S32" s="69"/>
      <c r="T32" s="243">
        <f>IF(AND(T30=U30,T31=V29),T25*V30,IF(AND(T30=U30,T31=W29),T25*W30,IF(AND(T30=U30,T31=X29),T25*X30,IF(AND(T30=U30,T31=Y29),T25*Y30,IF(AND(T30=U30,T31=Z29),T25*Z30,IF(AND(T30=U30,T31=AA29),T25*AA30,IF(AND(T30=U30,T31=AB29),T25*AB30,IF(AND(T30=U30,T31=AC29),T25*AC30,IF(AND(T30=U30,T31=AD29),T25*AD30,IF(AND(T30=T31),T25*1,"errore o dati mancanti"))))))))))</f>
        <v>0</v>
      </c>
      <c r="V32" s="4" t="s">
        <v>654</v>
      </c>
      <c r="AD32" s="30"/>
    </row>
    <row r="33" spans="2:30" ht="24.75" customHeight="1">
      <c r="B33" s="856" t="s">
        <v>170</v>
      </c>
      <c r="C33" s="875"/>
      <c r="D33" s="875"/>
      <c r="E33" s="875"/>
      <c r="F33" s="875"/>
      <c r="G33" s="875"/>
      <c r="H33" s="875"/>
      <c r="I33" s="875"/>
      <c r="J33" s="875"/>
      <c r="K33" s="875"/>
      <c r="L33" s="875"/>
      <c r="M33" s="875"/>
      <c r="N33" s="87"/>
      <c r="P33" s="129"/>
      <c r="Q33" s="129"/>
      <c r="R33" s="129"/>
      <c r="S33" s="597" t="s">
        <v>656</v>
      </c>
      <c r="T33" s="60"/>
      <c r="V33" s="4" t="s">
        <v>655</v>
      </c>
      <c r="AD33" s="30"/>
    </row>
    <row r="34" spans="2:30" ht="24.75" customHeight="1">
      <c r="B34" s="83"/>
      <c r="C34" s="92" t="s">
        <v>124</v>
      </c>
      <c r="D34" s="93" t="s">
        <v>125</v>
      </c>
      <c r="E34" s="44"/>
      <c r="F34" s="70" t="s">
        <v>126</v>
      </c>
      <c r="G34" s="72">
        <f>IF(D34="SI",20,IF(D34="NO",H56))</f>
        <v>5</v>
      </c>
      <c r="H34" s="44"/>
      <c r="M34" s="138"/>
      <c r="N34" s="87"/>
      <c r="P34" s="129"/>
      <c r="Q34" s="129"/>
      <c r="R34" s="129"/>
      <c r="S34" s="598" t="s">
        <v>657</v>
      </c>
      <c r="T34" s="58"/>
      <c r="U34" s="233"/>
      <c r="V34" s="233"/>
      <c r="W34" s="233"/>
      <c r="X34" s="233"/>
      <c r="Y34" s="233"/>
      <c r="Z34" s="233"/>
      <c r="AA34" s="233"/>
      <c r="AB34" s="233"/>
      <c r="AC34" s="233"/>
      <c r="AD34" s="234"/>
    </row>
    <row r="35" spans="2:30" ht="24.75" customHeight="1">
      <c r="B35" s="83"/>
      <c r="C35" s="92"/>
      <c r="D35" s="92"/>
      <c r="E35" s="44"/>
      <c r="F35" s="92"/>
      <c r="G35" s="139"/>
      <c r="H35" s="44"/>
      <c r="M35" s="138"/>
      <c r="N35" s="87"/>
      <c r="S35" s="484" t="s">
        <v>478</v>
      </c>
    </row>
    <row r="36" spans="2:30" ht="24.75" customHeight="1">
      <c r="B36" s="480" t="s">
        <v>508</v>
      </c>
      <c r="C36" s="74"/>
      <c r="D36" s="140" t="s">
        <v>171</v>
      </c>
      <c r="E36" s="500">
        <v>0</v>
      </c>
      <c r="F36" s="237"/>
      <c r="G36" s="140" t="s">
        <v>172</v>
      </c>
      <c r="H36" s="500">
        <v>0</v>
      </c>
      <c r="I36" s="237"/>
      <c r="J36" s="141" t="s">
        <v>173</v>
      </c>
      <c r="K36" s="509">
        <f>E36+0.6*H36</f>
        <v>0</v>
      </c>
      <c r="L36" s="142" t="s">
        <v>174</v>
      </c>
      <c r="M36" s="143">
        <v>0</v>
      </c>
      <c r="N36" s="144" t="s">
        <v>125</v>
      </c>
    </row>
    <row r="37" spans="2:30" ht="24.75" customHeight="1">
      <c r="B37" s="89" t="s">
        <v>175</v>
      </c>
      <c r="E37" s="482" t="s">
        <v>505</v>
      </c>
      <c r="M37" s="143">
        <v>35</v>
      </c>
      <c r="N37" s="144" t="s">
        <v>128</v>
      </c>
    </row>
    <row r="38" spans="2:30" ht="50.1" customHeight="1">
      <c r="B38" s="843" t="s">
        <v>557</v>
      </c>
      <c r="C38" s="876"/>
      <c r="D38" s="876"/>
      <c r="E38" s="876"/>
      <c r="F38" s="876"/>
      <c r="G38" s="876"/>
      <c r="H38" s="876"/>
      <c r="I38" s="876"/>
      <c r="J38" s="876"/>
      <c r="K38" s="876"/>
      <c r="L38" s="876"/>
      <c r="M38" s="877"/>
      <c r="N38" s="375" t="s">
        <v>125</v>
      </c>
    </row>
    <row r="39" spans="2:30" ht="24.75" customHeight="1" thickBot="1"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7"/>
    </row>
    <row r="40" spans="2:30" ht="30" customHeight="1" thickBot="1">
      <c r="B40" s="101"/>
      <c r="C40" s="148" t="s">
        <v>176</v>
      </c>
      <c r="D40" s="149"/>
      <c r="E40" s="878">
        <f>IF(N38="SI",C43,IF(N38="NO",C44))</f>
        <v>0</v>
      </c>
      <c r="F40" s="878"/>
      <c r="G40" s="878"/>
      <c r="H40" s="878"/>
      <c r="I40" s="149"/>
      <c r="J40" s="149"/>
      <c r="K40" s="149"/>
      <c r="L40" s="149"/>
      <c r="M40" s="149"/>
      <c r="N40" s="150"/>
    </row>
    <row r="41" spans="2:30" s="152" customFormat="1" ht="20.100000000000001" customHeight="1">
      <c r="B41" s="4"/>
      <c r="C41" s="71"/>
      <c r="D41" s="4"/>
      <c r="E41" s="151"/>
      <c r="F41" s="151"/>
      <c r="G41" s="459"/>
      <c r="H41" s="459"/>
      <c r="I41" s="4"/>
      <c r="J41" s="4"/>
      <c r="K41" s="4"/>
      <c r="L41" s="4"/>
      <c r="M41" s="4"/>
      <c r="N41" s="194" t="s">
        <v>384</v>
      </c>
    </row>
    <row r="42" spans="2:30" s="153" customFormat="1" ht="20.100000000000001" hidden="1" customHeight="1">
      <c r="C42" s="154" t="s">
        <v>177</v>
      </c>
      <c r="N42" s="159"/>
    </row>
    <row r="43" spans="2:30" s="153" customFormat="1" ht="20.100000000000001" hidden="1" customHeight="1">
      <c r="B43" s="155" t="s">
        <v>1</v>
      </c>
      <c r="C43" s="155">
        <f>N29*K36*N19*(1-M37/100)</f>
        <v>0</v>
      </c>
      <c r="D43" s="154" t="s">
        <v>178</v>
      </c>
      <c r="M43" s="156"/>
      <c r="N43" s="157">
        <f>C25*G34/100</f>
        <v>0</v>
      </c>
    </row>
    <row r="44" spans="2:30" s="158" customFormat="1" ht="24.95" hidden="1" customHeight="1">
      <c r="B44" s="155" t="s">
        <v>1</v>
      </c>
      <c r="C44" s="155">
        <f>N29*K36*N19</f>
        <v>0</v>
      </c>
      <c r="D44" s="154" t="s">
        <v>178</v>
      </c>
      <c r="E44" s="153"/>
      <c r="F44" s="153"/>
      <c r="G44" s="153"/>
      <c r="H44" s="153"/>
      <c r="I44" s="153"/>
      <c r="J44" s="153"/>
      <c r="K44" s="153"/>
      <c r="L44" s="153"/>
      <c r="M44" s="156"/>
      <c r="N44" s="157"/>
    </row>
    <row r="45" spans="2:30" s="158" customFormat="1" ht="24.95" customHeight="1">
      <c r="B45" s="159" t="s">
        <v>179</v>
      </c>
      <c r="G45" s="373"/>
    </row>
    <row r="46" spans="2:30" s="158" customFormat="1" ht="37.5" customHeight="1">
      <c r="B46" s="160" t="s">
        <v>180</v>
      </c>
      <c r="C46" s="160" t="s">
        <v>133</v>
      </c>
      <c r="D46" s="160" t="s">
        <v>52</v>
      </c>
    </row>
    <row r="47" spans="2:30" s="158" customFormat="1" ht="12.75" customHeight="1">
      <c r="B47" s="160" t="s">
        <v>134</v>
      </c>
      <c r="C47" s="160">
        <v>5</v>
      </c>
      <c r="D47" s="160" t="str">
        <f>IF(C25&lt;=500,"1","0")</f>
        <v>1</v>
      </c>
    </row>
    <row r="48" spans="2:30" s="158" customFormat="1" ht="12.75" customHeight="1">
      <c r="B48" s="160" t="s">
        <v>135</v>
      </c>
      <c r="C48" s="160">
        <v>6</v>
      </c>
      <c r="D48" s="160" t="str">
        <f>IF(AND(C25&gt;500,C25&lt;=1000),"1","0")</f>
        <v>0</v>
      </c>
    </row>
    <row r="49" spans="2:14" s="158" customFormat="1" ht="12.75" customHeight="1">
      <c r="B49" s="160" t="s">
        <v>136</v>
      </c>
      <c r="C49" s="160">
        <v>7</v>
      </c>
      <c r="D49" s="160" t="str">
        <f>IF(AND(C25&gt;1000,C25&lt;=1500),"1","0")</f>
        <v>0</v>
      </c>
    </row>
    <row r="50" spans="2:14" s="158" customFormat="1" ht="12.75" customHeight="1">
      <c r="B50" s="160" t="s">
        <v>137</v>
      </c>
      <c r="C50" s="160">
        <v>8</v>
      </c>
      <c r="D50" s="160" t="str">
        <f>IF(AND(C25&gt;1500,C25&lt;=2000),"1","0")</f>
        <v>0</v>
      </c>
    </row>
    <row r="51" spans="2:14" s="158" customFormat="1" ht="12.75" customHeight="1">
      <c r="B51" s="160" t="s">
        <v>138</v>
      </c>
      <c r="C51" s="160">
        <v>9</v>
      </c>
      <c r="D51" s="160" t="str">
        <f>IF(AND(C25&gt;2000,C25&lt;=2500),"1","0")</f>
        <v>0</v>
      </c>
    </row>
    <row r="52" spans="2:14" s="158" customFormat="1" ht="12.75" customHeight="1">
      <c r="B52" s="160" t="s">
        <v>139</v>
      </c>
      <c r="C52" s="160">
        <v>10</v>
      </c>
      <c r="D52" s="160" t="str">
        <f>IF(AND(C25&gt;2500,C25&lt;=3000),"1","0")</f>
        <v>0</v>
      </c>
    </row>
    <row r="53" spans="2:14" s="158" customFormat="1" ht="12.75" customHeight="1">
      <c r="B53" s="160" t="s">
        <v>140</v>
      </c>
      <c r="C53" s="160">
        <v>11</v>
      </c>
      <c r="D53" s="160" t="str">
        <f>IF(AND(C25&gt;3000,C25&lt;=3500),"1","0")</f>
        <v>0</v>
      </c>
    </row>
    <row r="54" spans="2:14" s="158" customFormat="1" ht="12.75" customHeight="1">
      <c r="B54" s="160" t="s">
        <v>141</v>
      </c>
      <c r="C54" s="160">
        <v>12</v>
      </c>
      <c r="D54" s="160" t="str">
        <f>IF(AND(C25&gt;3500,C25&lt;=4000),"1","0")</f>
        <v>0</v>
      </c>
    </row>
    <row r="55" spans="2:14" s="158" customFormat="1" ht="12.75" customHeight="1">
      <c r="B55" s="160" t="s">
        <v>142</v>
      </c>
      <c r="C55" s="160">
        <v>13</v>
      </c>
      <c r="D55" s="160" t="str">
        <f>IF(AND(C25&gt;4000,C25&lt;=4500),"1","0")</f>
        <v>0</v>
      </c>
    </row>
    <row r="56" spans="2:14" s="158" customFormat="1" ht="12.75" customHeight="1">
      <c r="B56" s="160" t="s">
        <v>143</v>
      </c>
      <c r="C56" s="160">
        <v>14</v>
      </c>
      <c r="D56" s="160" t="str">
        <f>IF(C25&gt;4500,"1","0")</f>
        <v>0</v>
      </c>
      <c r="G56" s="161" t="s">
        <v>126</v>
      </c>
      <c r="H56" s="161">
        <f>C47*D47+C48*D48+C49*D49+C50*D50+C51*D51+C52*D52+C53*D53+C54*D54+C55*D55+C56*D56</f>
        <v>5</v>
      </c>
    </row>
    <row r="57" spans="2:14" s="138" customFormat="1" ht="10.5" customHeight="1"/>
    <row r="58" spans="2:14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</row>
  </sheetData>
  <sheetProtection algorithmName="SHA-512" hashValue="l0PL2bg9grsoEtUPnV4mgeWfyPJuwq6cPvYIbdP7wZOxPe0JSbldWwnDhXibe1CaMbDONSdO05jobuTrt5V1dA==" saltValue="GHnNk20G9pA1GkoLoXdjcw==" spinCount="100000" sheet="1" objects="1" scenarios="1" selectLockedCells="1"/>
  <mergeCells count="33">
    <mergeCell ref="B33:M33"/>
    <mergeCell ref="B38:M38"/>
    <mergeCell ref="E40:H40"/>
    <mergeCell ref="S23:T23"/>
    <mergeCell ref="U23:W23"/>
    <mergeCell ref="U24:U26"/>
    <mergeCell ref="B26:N26"/>
    <mergeCell ref="B28:I28"/>
    <mergeCell ref="S28:T29"/>
    <mergeCell ref="U28:U29"/>
    <mergeCell ref="P23:Q23"/>
    <mergeCell ref="V28:AD28"/>
    <mergeCell ref="N11:N13"/>
    <mergeCell ref="L17:M17"/>
    <mergeCell ref="L18:M18"/>
    <mergeCell ref="B19:M19"/>
    <mergeCell ref="C23:H23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C2:O2"/>
    <mergeCell ref="C3:O3"/>
    <mergeCell ref="B5:O5"/>
    <mergeCell ref="B8:C9"/>
    <mergeCell ref="D8:N8"/>
  </mergeCells>
  <conditionalFormatting sqref="L20:N20">
    <cfRule type="expression" dxfId="37" priority="2">
      <formula>$N$17&gt;0.5</formula>
    </cfRule>
  </conditionalFormatting>
  <conditionalFormatting sqref="Q28">
    <cfRule type="expression" dxfId="36" priority="3">
      <formula>$D$11="errore o dati mancanti"</formula>
    </cfRule>
  </conditionalFormatting>
  <conditionalFormatting sqref="T30:T31">
    <cfRule type="expression" dxfId="35" priority="1">
      <formula>#REF!&lt;&gt;"Residenziale"</formula>
    </cfRule>
  </conditionalFormatting>
  <dataValidations count="4">
    <dataValidation type="list" allowBlank="1" showInputMessage="1" showErrorMessage="1" sqref="T24">
      <formula1>$V$24:$V$26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D34">
      <formula1>$N$36:$N$37</formula1>
    </dataValidation>
    <dataValidation type="list" allowBlank="1" showInputMessage="1" showErrorMessage="1" sqref="T30:T31">
      <formula1>$V$29:$AD$29</formula1>
    </dataValidation>
  </dataValidations>
  <hyperlinks>
    <hyperlink ref="C23" r:id="rId1"/>
    <hyperlink ref="C24" r:id="rId2"/>
  </hyperlinks>
  <pageMargins left="0.7" right="0.7" top="0.75" bottom="0.75" header="0.3" footer="0.3"/>
  <pageSetup paperSize="8" scale="62" orientation="landscape" horizontalDpi="1200" verticalDpi="1200" r:id="rId3"/>
  <ignoredErrors>
    <ignoredError sqref="N15" formula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0"/>
  <sheetViews>
    <sheetView showGridLines="0" zoomScaleNormal="100" workbookViewId="0">
      <selection activeCell="O13" sqref="O13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3.85546875" style="4" customWidth="1"/>
    <col min="4" max="4" width="7.28515625" style="4" customWidth="1"/>
    <col min="5" max="5" width="18.5703125" style="4" customWidth="1"/>
    <col min="6" max="6" width="11.28515625" style="4" customWidth="1"/>
    <col min="7" max="7" width="14.5703125" style="4" customWidth="1"/>
    <col min="8" max="8" width="9.42578125" style="4" customWidth="1"/>
    <col min="9" max="9" width="9.28515625" style="4" customWidth="1"/>
    <col min="10" max="10" width="18.5703125" style="4" customWidth="1"/>
    <col min="11" max="11" width="8.28515625" style="4" customWidth="1"/>
    <col min="12" max="12" width="5.42578125" style="12" customWidth="1"/>
    <col min="13" max="13" width="8.7109375" style="4" customWidth="1"/>
    <col min="14" max="14" width="25.7109375" style="4" customWidth="1"/>
    <col min="15" max="15" width="13.28515625" style="4" customWidth="1"/>
    <col min="16" max="16" width="3.7109375" style="4" customWidth="1"/>
    <col min="17" max="17" width="25.7109375" style="4" customWidth="1"/>
    <col min="18" max="18" width="15.42578125" style="4" customWidth="1"/>
    <col min="19" max="19" width="12.7109375" style="4" customWidth="1"/>
    <col min="20" max="20" width="12.85546875" style="4" customWidth="1"/>
    <col min="21" max="27" width="10.85546875" style="4" customWidth="1"/>
    <col min="28" max="16384" width="9.140625" style="4"/>
  </cols>
  <sheetData>
    <row r="1" spans="2:28" ht="13.5" thickBot="1"/>
    <row r="2" spans="2:28" ht="35.1" customHeight="1">
      <c r="B2" s="318" t="s">
        <v>604</v>
      </c>
      <c r="C2" s="822" t="s">
        <v>394</v>
      </c>
      <c r="D2" s="823"/>
      <c r="E2" s="823"/>
      <c r="F2" s="823"/>
      <c r="G2" s="823"/>
      <c r="H2" s="823"/>
      <c r="I2" s="823"/>
      <c r="J2" s="823"/>
      <c r="K2" s="823"/>
      <c r="L2" s="823"/>
      <c r="M2" s="824"/>
    </row>
    <row r="3" spans="2:28" ht="35.1" customHeight="1" thickBot="1">
      <c r="B3" s="319" t="s">
        <v>336</v>
      </c>
      <c r="C3" s="825" t="s">
        <v>337</v>
      </c>
      <c r="D3" s="826"/>
      <c r="E3" s="826"/>
      <c r="F3" s="826"/>
      <c r="G3" s="826"/>
      <c r="H3" s="826"/>
      <c r="I3" s="826"/>
      <c r="J3" s="826"/>
      <c r="K3" s="826"/>
      <c r="L3" s="826"/>
      <c r="M3" s="827"/>
    </row>
    <row r="4" spans="2:28" ht="9.9499999999999993" customHeight="1"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</row>
    <row r="5" spans="2:28" ht="24.95" customHeight="1">
      <c r="B5" s="828" t="s">
        <v>24</v>
      </c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3"/>
    </row>
    <row r="7" spans="2:28" ht="24.75" customHeight="1">
      <c r="B7" s="6" t="s">
        <v>181</v>
      </c>
      <c r="J7" s="32"/>
    </row>
    <row r="8" spans="2:28" ht="24.75" customHeight="1">
      <c r="B8" s="48" t="s">
        <v>622</v>
      </c>
      <c r="C8" s="869" t="s">
        <v>91</v>
      </c>
      <c r="D8" s="870"/>
      <c r="E8" s="870"/>
      <c r="F8" s="870"/>
      <c r="G8" s="870"/>
      <c r="H8" s="870"/>
      <c r="J8" s="32"/>
      <c r="L8" s="4"/>
      <c r="N8" s="654" t="s">
        <v>396</v>
      </c>
      <c r="O8" s="858"/>
      <c r="P8" s="44"/>
      <c r="Q8" s="879" t="s">
        <v>457</v>
      </c>
      <c r="R8" s="880"/>
      <c r="S8" s="846" t="s">
        <v>93</v>
      </c>
      <c r="T8" s="847"/>
      <c r="U8" s="848"/>
      <c r="V8" s="162"/>
      <c r="W8" s="163"/>
      <c r="X8" s="162"/>
    </row>
    <row r="9" spans="2:28" ht="24.75" customHeight="1">
      <c r="B9" s="48" t="s">
        <v>621</v>
      </c>
      <c r="C9" s="574" t="s">
        <v>620</v>
      </c>
      <c r="D9" s="575"/>
      <c r="E9" s="575"/>
      <c r="F9" s="84"/>
      <c r="G9" s="84"/>
      <c r="H9" s="84"/>
      <c r="J9" s="32"/>
      <c r="N9" s="3"/>
      <c r="O9" s="164"/>
      <c r="P9" s="44"/>
      <c r="Q9" s="130" t="s">
        <v>94</v>
      </c>
      <c r="R9" s="165" t="s">
        <v>95</v>
      </c>
      <c r="S9" s="849" t="s">
        <v>96</v>
      </c>
      <c r="T9" s="166" t="s">
        <v>97</v>
      </c>
      <c r="U9" s="557">
        <f>'QCC (A)'!I43</f>
        <v>1</v>
      </c>
      <c r="V9" s="162"/>
      <c r="W9" s="546" t="s">
        <v>596</v>
      </c>
      <c r="X9" s="162"/>
    </row>
    <row r="10" spans="2:28" ht="24.75" customHeight="1">
      <c r="B10" s="131" t="s">
        <v>182</v>
      </c>
      <c r="C10" s="67">
        <f>O16*0.475</f>
        <v>0</v>
      </c>
      <c r="D10" s="66" t="s">
        <v>110</v>
      </c>
      <c r="I10" s="167"/>
      <c r="J10" s="167" t="s">
        <v>125</v>
      </c>
      <c r="N10" s="891" t="s">
        <v>658</v>
      </c>
      <c r="O10" s="892"/>
      <c r="P10" s="44"/>
      <c r="Q10" s="376" t="s">
        <v>509</v>
      </c>
      <c r="R10" s="246">
        <f>IF(R9=T9,AVERAGE(O13:O14)*U9,IF(R9=T10,AVERAGE(O13:O14)*U10,IF(R9=T11,AVERAGE(O13:O14)*U11,"errore o dati mancanti")))</f>
        <v>0</v>
      </c>
      <c r="S10" s="850"/>
      <c r="T10" s="166" t="s">
        <v>95</v>
      </c>
      <c r="U10" s="557">
        <f>'QCC (A)'!I44</f>
        <v>1.3</v>
      </c>
      <c r="V10" s="162"/>
      <c r="W10" s="546" t="s">
        <v>597</v>
      </c>
      <c r="X10" s="162"/>
    </row>
    <row r="11" spans="2:28" ht="24.75" customHeight="1">
      <c r="B11" s="75"/>
      <c r="D11" s="66"/>
      <c r="I11" s="152"/>
      <c r="J11" s="167" t="s">
        <v>128</v>
      </c>
      <c r="N11" s="893"/>
      <c r="O11" s="894"/>
      <c r="P11" s="168"/>
      <c r="Q11" s="377" t="s">
        <v>510</v>
      </c>
      <c r="R11" s="169"/>
      <c r="S11" s="851"/>
      <c r="T11" s="230" t="s">
        <v>100</v>
      </c>
      <c r="U11" s="557">
        <f>'QCC (A)'!I45</f>
        <v>2</v>
      </c>
      <c r="V11" s="162"/>
      <c r="W11" s="546" t="s">
        <v>598</v>
      </c>
      <c r="X11" s="162"/>
    </row>
    <row r="12" spans="2:28" ht="24.75" customHeight="1" thickBot="1">
      <c r="B12" s="7"/>
      <c r="N12" s="49"/>
      <c r="O12" s="170"/>
      <c r="P12" s="44"/>
      <c r="Q12" s="171"/>
      <c r="R12" s="171"/>
      <c r="S12" s="162"/>
      <c r="T12" s="231"/>
      <c r="U12" s="162"/>
      <c r="V12" s="162"/>
      <c r="W12" s="162"/>
      <c r="X12" s="162"/>
    </row>
    <row r="13" spans="2:28" ht="24.75" customHeight="1">
      <c r="B13" s="76" t="s">
        <v>183</v>
      </c>
      <c r="C13" s="77"/>
      <c r="D13" s="77"/>
      <c r="E13" s="77"/>
      <c r="F13" s="77"/>
      <c r="G13" s="77"/>
      <c r="H13" s="77"/>
      <c r="I13" s="77"/>
      <c r="J13" s="77"/>
      <c r="K13" s="135"/>
      <c r="N13" s="55" t="s">
        <v>184</v>
      </c>
      <c r="O13" s="56">
        <v>0</v>
      </c>
      <c r="P13" s="44"/>
      <c r="Q13" s="654" t="s">
        <v>185</v>
      </c>
      <c r="R13" s="859"/>
      <c r="S13" s="852" t="s">
        <v>186</v>
      </c>
      <c r="T13" s="846" t="s">
        <v>187</v>
      </c>
      <c r="U13" s="847"/>
      <c r="V13" s="847"/>
      <c r="W13" s="847"/>
      <c r="X13" s="847"/>
      <c r="Y13" s="860"/>
      <c r="Z13" s="860"/>
      <c r="AA13" s="860"/>
      <c r="AB13" s="861"/>
    </row>
    <row r="14" spans="2:28" ht="24.75" customHeight="1">
      <c r="B14" s="883" t="s">
        <v>188</v>
      </c>
      <c r="C14" s="884"/>
      <c r="D14" s="884"/>
      <c r="E14" s="884"/>
      <c r="F14" s="884"/>
      <c r="G14" s="884"/>
      <c r="H14" s="884"/>
      <c r="I14" s="884"/>
      <c r="K14" s="87"/>
      <c r="N14" s="55" t="s">
        <v>189</v>
      </c>
      <c r="O14" s="56">
        <v>0</v>
      </c>
      <c r="P14" s="44"/>
      <c r="Q14" s="539" t="s">
        <v>190</v>
      </c>
      <c r="R14" s="172" t="s">
        <v>191</v>
      </c>
      <c r="S14" s="850"/>
      <c r="T14" s="533" t="s">
        <v>192</v>
      </c>
      <c r="U14" s="533" t="s">
        <v>191</v>
      </c>
      <c r="V14" s="533" t="s">
        <v>193</v>
      </c>
      <c r="W14" s="533" t="s">
        <v>194</v>
      </c>
      <c r="X14" s="533" t="s">
        <v>595</v>
      </c>
      <c r="Y14" s="533" t="s">
        <v>584</v>
      </c>
      <c r="Z14" s="533" t="s">
        <v>585</v>
      </c>
      <c r="AA14" s="533" t="s">
        <v>460</v>
      </c>
      <c r="AB14" s="533" t="s">
        <v>459</v>
      </c>
    </row>
    <row r="15" spans="2:28" ht="24.75" customHeight="1">
      <c r="B15" s="86" t="s">
        <v>114</v>
      </c>
      <c r="E15" s="481" t="s">
        <v>505</v>
      </c>
      <c r="K15" s="87"/>
      <c r="N15" s="55"/>
      <c r="O15" s="50"/>
      <c r="P15" s="44"/>
      <c r="Q15" s="540" t="s">
        <v>195</v>
      </c>
      <c r="R15" s="172" t="s">
        <v>191</v>
      </c>
      <c r="S15" s="895"/>
      <c r="T15" s="228">
        <v>1</v>
      </c>
      <c r="U15" s="532">
        <v>0.87</v>
      </c>
      <c r="V15" s="532">
        <v>1.28</v>
      </c>
      <c r="W15" s="532">
        <v>0.87</v>
      </c>
      <c r="X15" s="532">
        <v>1.01</v>
      </c>
      <c r="Y15" s="532">
        <v>0.36</v>
      </c>
      <c r="Z15" s="532">
        <v>0.35</v>
      </c>
      <c r="AA15" s="532">
        <v>0.44</v>
      </c>
      <c r="AB15" s="532">
        <v>0.51</v>
      </c>
    </row>
    <row r="16" spans="2:28" ht="24.75" customHeight="1">
      <c r="B16" s="89" t="s">
        <v>168</v>
      </c>
      <c r="K16" s="87"/>
      <c r="N16" s="62" t="s">
        <v>101</v>
      </c>
      <c r="O16" s="173">
        <f>R16</f>
        <v>0</v>
      </c>
      <c r="P16" s="44"/>
      <c r="Q16" s="484" t="s">
        <v>478</v>
      </c>
      <c r="R16" s="246">
        <f>IF(AND(R14=U14,R15=U14),R10*T15,IF(AND(R14=V14,R15=V14),R10*T15,IF(AND(R14=W14,R15=W14),R10*T15,IF(AND(R14=Y14,R15=Y14),R10*T15,IF(AND(R14=Z14,R15=Z14),R10*T15,IF(AND(R14=AA14,R15=AA14),R10*T15,IF(AND(R14=T14,R15=U14),R10*U15,IF(AND(R14=T14,R15=V14),R10*V15,IF(AND(R14=T14,R15=W14),R10*W15,IF(AND(R14=T14,R15=Y14),R10*Y15,IF(AND(R14=T14,R15=Z14),R10*Z15,IF(AND(R14=T14,R15=AA14),R10*AA15,IF(AND(R14=T14,R15=AB14),R10*AB15,IF(AND(R14=T14,R15=X14),R10*X15,IF(AND(R14=R15),R10*1,"errore/dati mancanti")))))))))))))))</f>
        <v>0</v>
      </c>
      <c r="T16" s="546"/>
    </row>
    <row r="17" spans="2:32" ht="24.75" customHeight="1">
      <c r="B17" s="479" t="s">
        <v>503</v>
      </c>
      <c r="C17" s="74"/>
      <c r="D17" s="92" t="s">
        <v>171</v>
      </c>
      <c r="E17" s="500">
        <v>0</v>
      </c>
      <c r="F17" s="92" t="s">
        <v>172</v>
      </c>
      <c r="G17" s="500">
        <v>0</v>
      </c>
      <c r="H17" s="237"/>
      <c r="I17" s="141" t="s">
        <v>196</v>
      </c>
      <c r="J17" s="174">
        <f>E17+0.6*G17</f>
        <v>0</v>
      </c>
      <c r="K17" s="87"/>
      <c r="L17" s="460"/>
      <c r="M17" s="12"/>
      <c r="N17" s="484" t="s">
        <v>382</v>
      </c>
      <c r="O17" s="44"/>
      <c r="P17" s="44"/>
      <c r="Q17" s="44"/>
      <c r="T17" s="546"/>
    </row>
    <row r="18" spans="2:32" ht="24.75" customHeight="1">
      <c r="B18" s="89"/>
      <c r="C18" s="74"/>
      <c r="D18" s="92"/>
      <c r="E18" s="237"/>
      <c r="F18" s="92"/>
      <c r="G18" s="237"/>
      <c r="H18" s="70"/>
      <c r="I18" s="176"/>
      <c r="K18" s="87"/>
      <c r="N18" s="485" t="s">
        <v>383</v>
      </c>
      <c r="O18" s="44"/>
      <c r="P18" s="44"/>
    </row>
    <row r="19" spans="2:32" ht="24.75" customHeight="1">
      <c r="B19" s="885" t="s">
        <v>197</v>
      </c>
      <c r="C19" s="876"/>
      <c r="D19" s="876"/>
      <c r="E19" s="876"/>
      <c r="F19" s="876"/>
      <c r="G19" s="876"/>
      <c r="H19" s="876"/>
      <c r="I19" s="177">
        <f>HLOOKUP(K19,B32:R33,2,0)</f>
        <v>7</v>
      </c>
      <c r="J19" s="178" t="s">
        <v>198</v>
      </c>
      <c r="K19" s="179" t="s">
        <v>202</v>
      </c>
      <c r="N19" s="44"/>
      <c r="O19" s="492" t="s">
        <v>547</v>
      </c>
    </row>
    <row r="20" spans="2:32" ht="9.9499999999999993" customHeight="1" thickBot="1">
      <c r="B20" s="180"/>
      <c r="C20" s="181"/>
      <c r="D20" s="181"/>
      <c r="E20" s="181"/>
      <c r="F20" s="181"/>
      <c r="G20" s="181"/>
      <c r="H20" s="181"/>
      <c r="I20" s="92"/>
      <c r="J20" s="92"/>
      <c r="K20" s="175"/>
      <c r="N20" s="44"/>
      <c r="O20" s="44"/>
    </row>
    <row r="21" spans="2:32" ht="50.1" customHeight="1" thickBot="1">
      <c r="B21" s="843" t="s">
        <v>557</v>
      </c>
      <c r="C21" s="886"/>
      <c r="D21" s="886"/>
      <c r="E21" s="886"/>
      <c r="F21" s="886"/>
      <c r="G21" s="886"/>
      <c r="H21" s="886"/>
      <c r="I21" s="887"/>
      <c r="J21" s="888"/>
      <c r="K21" s="504" t="s">
        <v>125</v>
      </c>
      <c r="N21" s="44"/>
      <c r="O21" s="493" t="s">
        <v>521</v>
      </c>
      <c r="P21" s="494" t="s">
        <v>1</v>
      </c>
      <c r="Q21" s="495" t="s">
        <v>522</v>
      </c>
      <c r="R21" s="496" t="e">
        <f>(Q22*Q23*Q24*1000)/Q25</f>
        <v>#DIV/0!</v>
      </c>
      <c r="S21" s="497"/>
      <c r="T21" s="508" t="e">
        <f>R21/0.475</f>
        <v>#DIV/0!</v>
      </c>
      <c r="U21" s="889" t="s">
        <v>523</v>
      </c>
      <c r="V21" s="890"/>
      <c r="W21" s="890"/>
      <c r="X21" s="890"/>
      <c r="Y21" s="890"/>
      <c r="Z21" s="890"/>
    </row>
    <row r="22" spans="2:32" ht="24.75" customHeight="1" thickBot="1">
      <c r="B22" s="145"/>
      <c r="C22" s="146"/>
      <c r="D22" s="146"/>
      <c r="E22" s="146"/>
      <c r="F22" s="146"/>
      <c r="G22" s="146"/>
      <c r="H22" s="146"/>
      <c r="I22" s="99"/>
      <c r="J22" s="182">
        <v>0</v>
      </c>
      <c r="K22" s="183">
        <v>35</v>
      </c>
      <c r="N22" s="44"/>
      <c r="O22" s="162" t="s">
        <v>433</v>
      </c>
      <c r="P22" s="162" t="s">
        <v>1</v>
      </c>
      <c r="Q22" s="498">
        <v>0</v>
      </c>
      <c r="R22" s="499" t="s">
        <v>524</v>
      </c>
    </row>
    <row r="23" spans="2:32" ht="30" customHeight="1" thickBot="1">
      <c r="B23" s="101"/>
      <c r="C23" s="149"/>
      <c r="D23" s="102" t="s">
        <v>200</v>
      </c>
      <c r="E23" s="214">
        <f>IF(K21="SI",E30,IF(K21="NO",E31))</f>
        <v>0</v>
      </c>
      <c r="F23" s="103"/>
      <c r="G23" s="149"/>
      <c r="H23" s="149"/>
      <c r="I23" s="149"/>
      <c r="J23" s="149"/>
      <c r="K23" s="150"/>
      <c r="O23" s="162" t="s">
        <v>525</v>
      </c>
      <c r="P23" s="162" t="s">
        <v>1</v>
      </c>
      <c r="Q23" s="617">
        <v>0.41170000000000001</v>
      </c>
      <c r="R23" s="499" t="s">
        <v>526</v>
      </c>
      <c r="W23" s="618"/>
      <c r="X23" s="619"/>
      <c r="Y23" s="618"/>
      <c r="Z23" s="618"/>
    </row>
    <row r="24" spans="2:32" s="12" customFormat="1" ht="24.75" customHeight="1">
      <c r="K24" s="194" t="s">
        <v>384</v>
      </c>
      <c r="N24" s="184"/>
      <c r="O24" s="162" t="s">
        <v>527</v>
      </c>
      <c r="P24" s="162" t="s">
        <v>1</v>
      </c>
      <c r="Q24" s="620">
        <v>117.15</v>
      </c>
      <c r="R24" s="499" t="s">
        <v>675</v>
      </c>
      <c r="S24" s="4"/>
      <c r="T24" s="4"/>
      <c r="U24" s="4"/>
      <c r="V24" s="4"/>
      <c r="W24" s="621"/>
      <c r="X24" s="622"/>
      <c r="Y24" s="618"/>
      <c r="Z24" s="618"/>
      <c r="AA24" s="4"/>
      <c r="AB24" s="4"/>
      <c r="AC24" s="4"/>
      <c r="AD24" s="4"/>
      <c r="AE24" s="4"/>
      <c r="AF24" s="4"/>
    </row>
    <row r="25" spans="2:32" s="12" customFormat="1" ht="24.75" customHeight="1">
      <c r="O25" s="162" t="s">
        <v>528</v>
      </c>
      <c r="P25" s="162" t="s">
        <v>1</v>
      </c>
      <c r="Q25" s="500">
        <v>0</v>
      </c>
      <c r="R25" s="499" t="s">
        <v>529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2:32" ht="24.75" customHeight="1">
      <c r="L26" s="188"/>
      <c r="M26" s="188"/>
      <c r="Q26" s="501" t="s">
        <v>530</v>
      </c>
      <c r="R26" s="502" t="s">
        <v>676</v>
      </c>
    </row>
    <row r="27" spans="2:32" ht="24.75" customHeight="1">
      <c r="L27" s="4"/>
      <c r="R27" s="502" t="s">
        <v>677</v>
      </c>
    </row>
    <row r="28" spans="2:32" ht="24.75" customHeight="1">
      <c r="L28" s="4"/>
    </row>
    <row r="29" spans="2:32" ht="20.100000000000001" customHeight="1"/>
    <row r="30" spans="2:32" ht="20.100000000000001" hidden="1" customHeight="1">
      <c r="B30" s="108"/>
      <c r="C30" s="108"/>
      <c r="D30" s="109" t="s">
        <v>201</v>
      </c>
      <c r="E30" s="109">
        <f>C10*J17*I19/100*(1-K22/100)</f>
        <v>0</v>
      </c>
      <c r="F30" s="111" t="s">
        <v>178</v>
      </c>
    </row>
    <row r="31" spans="2:32" ht="20.100000000000001" hidden="1" customHeight="1">
      <c r="B31" s="108"/>
      <c r="C31" s="108"/>
      <c r="D31" s="109" t="s">
        <v>201</v>
      </c>
      <c r="E31" s="109">
        <f>C10*J17*I19/100*(1-J22/100)</f>
        <v>0</v>
      </c>
      <c r="F31" s="111" t="s">
        <v>178</v>
      </c>
      <c r="Q31" s="186" t="s">
        <v>462</v>
      </c>
      <c r="R31" s="186" t="s">
        <v>216</v>
      </c>
    </row>
    <row r="32" spans="2:32" ht="20.100000000000001" hidden="1" customHeight="1">
      <c r="B32" s="185" t="s">
        <v>202</v>
      </c>
      <c r="C32" s="185" t="s">
        <v>203</v>
      </c>
      <c r="D32" s="185" t="s">
        <v>199</v>
      </c>
      <c r="E32" s="185" t="s">
        <v>204</v>
      </c>
      <c r="F32" s="185" t="s">
        <v>205</v>
      </c>
      <c r="G32" s="185" t="s">
        <v>206</v>
      </c>
      <c r="H32" s="185" t="s">
        <v>207</v>
      </c>
      <c r="I32" s="185" t="s">
        <v>208</v>
      </c>
      <c r="J32" s="186" t="s">
        <v>209</v>
      </c>
      <c r="K32" s="186" t="s">
        <v>210</v>
      </c>
      <c r="L32" s="186" t="s">
        <v>211</v>
      </c>
      <c r="M32" s="186" t="s">
        <v>212</v>
      </c>
      <c r="N32" s="461" t="s">
        <v>213</v>
      </c>
      <c r="O32" s="186" t="s">
        <v>214</v>
      </c>
      <c r="P32" s="186" t="s">
        <v>215</v>
      </c>
      <c r="Q32" s="187">
        <v>7</v>
      </c>
      <c r="R32" s="187">
        <v>7</v>
      </c>
    </row>
    <row r="33" spans="2:16" ht="20.100000000000001" hidden="1" customHeight="1">
      <c r="B33" s="187">
        <v>7</v>
      </c>
      <c r="C33" s="187">
        <v>7</v>
      </c>
      <c r="D33" s="187">
        <v>7</v>
      </c>
      <c r="E33" s="187">
        <v>7</v>
      </c>
      <c r="F33" s="187">
        <v>7</v>
      </c>
      <c r="G33" s="187">
        <v>10</v>
      </c>
      <c r="H33" s="187">
        <v>10</v>
      </c>
      <c r="I33" s="187">
        <v>10</v>
      </c>
      <c r="J33" s="187">
        <v>7</v>
      </c>
      <c r="K33" s="187">
        <v>7</v>
      </c>
      <c r="L33" s="187">
        <v>7</v>
      </c>
      <c r="M33" s="187">
        <v>7</v>
      </c>
      <c r="N33" s="462">
        <v>7</v>
      </c>
      <c r="O33" s="187">
        <v>7</v>
      </c>
      <c r="P33" s="187">
        <v>7</v>
      </c>
    </row>
    <row r="34" spans="2:16" ht="24.75" customHeight="1">
      <c r="L34" s="4"/>
    </row>
    <row r="35" spans="2:16" ht="24.75" customHeight="1"/>
    <row r="36" spans="2:16" ht="24.75" customHeight="1"/>
    <row r="37" spans="2:16" ht="24.75" customHeight="1"/>
    <row r="38" spans="2:16" ht="24.75" customHeight="1"/>
    <row r="39" spans="2:16" ht="24.75" customHeight="1"/>
    <row r="40" spans="2:16" ht="24.75" customHeight="1"/>
    <row r="41" spans="2:16" ht="24.75" customHeight="1"/>
    <row r="42" spans="2:16" ht="24.75" customHeight="1"/>
    <row r="43" spans="2:16" ht="24.75" customHeight="1"/>
    <row r="44" spans="2:16" ht="24.75" customHeight="1"/>
    <row r="45" spans="2:16" ht="24.75" customHeight="1"/>
    <row r="46" spans="2:16" ht="24.75" customHeight="1"/>
    <row r="47" spans="2:16" ht="24.75" customHeight="1"/>
    <row r="48" spans="2:16" ht="24.75" customHeight="1"/>
    <row r="49" spans="12:12" ht="24.75" customHeight="1"/>
    <row r="50" spans="12:12" ht="24.75" customHeight="1">
      <c r="L50" s="4"/>
    </row>
  </sheetData>
  <sheetProtection algorithmName="SHA-512" hashValue="PfJCWwSR1bOvytudtFwCl3MdvGVt+U8Mj/vkrSUKnANRPHjk5M2Sdh8DCPy9BgsV4Rd92tL07PyEcW8bVWP9wg==" saltValue="8lQhWxlLDjhM/TpTQY3NCA==" spinCount="100000" sheet="1" objects="1" scenarios="1" selectLockedCells="1"/>
  <mergeCells count="16">
    <mergeCell ref="B19:H19"/>
    <mergeCell ref="B21:J21"/>
    <mergeCell ref="U21:Z21"/>
    <mergeCell ref="S8:U8"/>
    <mergeCell ref="S9:S11"/>
    <mergeCell ref="N10:O11"/>
    <mergeCell ref="Q13:R13"/>
    <mergeCell ref="S13:S15"/>
    <mergeCell ref="Q8:R8"/>
    <mergeCell ref="T13:AB13"/>
    <mergeCell ref="C8:H8"/>
    <mergeCell ref="C2:M2"/>
    <mergeCell ref="C3:M3"/>
    <mergeCell ref="B5:M5"/>
    <mergeCell ref="N8:O8"/>
    <mergeCell ref="B14:I14"/>
  </mergeCells>
  <conditionalFormatting sqref="O16">
    <cfRule type="expression" dxfId="34" priority="13">
      <formula>#REF!="errore o dati mancanti"</formula>
    </cfRule>
  </conditionalFormatting>
  <conditionalFormatting sqref="R10">
    <cfRule type="expression" dxfId="33" priority="3">
      <formula>#REF!&lt;&gt;"errore o dati mancanti"</formula>
    </cfRule>
    <cfRule type="expression" dxfId="32" priority="4">
      <formula>#REF!="errore o dati mancanti"</formula>
    </cfRule>
  </conditionalFormatting>
  <conditionalFormatting sqref="R16">
    <cfRule type="expression" dxfId="31" priority="1">
      <formula>#REF!&lt;&gt;"errore o dati mancanti"</formula>
    </cfRule>
    <cfRule type="expression" dxfId="30" priority="2">
      <formula>#REF!="errore o dati mancanti"</formula>
    </cfRule>
  </conditionalFormatting>
  <dataValidations disablePrompts="1" count="4">
    <dataValidation type="list" allowBlank="1" showInputMessage="1" showErrorMessage="1" sqref="K19">
      <formula1>$B$32:$R$32</formula1>
    </dataValidation>
    <dataValidation type="list" allowBlank="1" showInputMessage="1" showErrorMessage="1" sqref="R9">
      <formula1>$T$9:$T$11</formula1>
    </dataValidation>
    <dataValidation type="list" allowBlank="1" showInputMessage="1" showErrorMessage="1" sqref="R14">
      <formula1>$T$14:$AB$14</formula1>
    </dataValidation>
    <dataValidation type="list" allowBlank="1" showInputMessage="1" showErrorMessage="1" sqref="R15">
      <formula1>$U$14:$AB$14</formula1>
    </dataValidation>
  </dataValidations>
  <hyperlinks>
    <hyperlink ref="C8" r:id="rId1"/>
    <hyperlink ref="C9" r:id="rId2"/>
  </hyperlinks>
  <pageMargins left="0.7" right="0.7" top="0.75" bottom="0.75" header="0.3" footer="0.3"/>
  <pageSetup paperSize="8" scale="56" orientation="landscape" horizontalDpi="1200" verticalDpi="120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0"/>
  <sheetViews>
    <sheetView showGridLines="0" zoomScaleNormal="100" workbookViewId="0">
      <selection activeCell="Q28" sqref="Q28"/>
    </sheetView>
  </sheetViews>
  <sheetFormatPr defaultColWidth="9.140625" defaultRowHeight="15"/>
  <cols>
    <col min="1" max="1" width="5.7109375" customWidth="1"/>
    <col min="2" max="2" width="25.28515625" customWidth="1"/>
    <col min="3" max="3" width="13.85546875" customWidth="1"/>
    <col min="4" max="4" width="7.28515625" customWidth="1"/>
    <col min="5" max="5" width="14.5703125" customWidth="1"/>
    <col min="6" max="7" width="7.28515625" customWidth="1"/>
    <col min="8" max="8" width="14.5703125" customWidth="1"/>
    <col min="9" max="9" width="7.28515625" customWidth="1"/>
    <col min="10" max="10" width="8.7109375" customWidth="1"/>
    <col min="11" max="11" width="16.5703125" customWidth="1"/>
    <col min="12" max="13" width="7.28515625" customWidth="1"/>
    <col min="14" max="14" width="9.42578125" customWidth="1"/>
    <col min="15" max="15" width="8.7109375" customWidth="1"/>
    <col min="16" max="16" width="25.7109375" customWidth="1"/>
    <col min="17" max="17" width="14" customWidth="1"/>
    <col min="18" max="18" width="3.7109375" customWidth="1"/>
    <col min="19" max="19" width="25.7109375" customWidth="1"/>
    <col min="20" max="20" width="15.7109375" customWidth="1"/>
    <col min="21" max="28" width="12.7109375" customWidth="1"/>
  </cols>
  <sheetData>
    <row r="1" spans="2:26" ht="15.75" thickBo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2:26" s="4" customFormat="1" ht="35.1" customHeight="1">
      <c r="B2" s="318" t="s">
        <v>348</v>
      </c>
      <c r="C2" s="822" t="s">
        <v>394</v>
      </c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26" s="4" customFormat="1" ht="35.1" customHeight="1" thickBot="1">
      <c r="B3" s="319" t="s">
        <v>336</v>
      </c>
      <c r="C3" s="896" t="s">
        <v>555</v>
      </c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7"/>
    </row>
    <row r="4" spans="2:26" s="4" customFormat="1" ht="9.9499999999999993" customHeight="1">
      <c r="B4" s="320"/>
      <c r="C4" s="323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</row>
    <row r="5" spans="2:26" s="4" customFormat="1" ht="24.95" customHeight="1">
      <c r="B5" s="828" t="s">
        <v>24</v>
      </c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3"/>
    </row>
    <row r="6" spans="2:26" ht="24.95" customHeight="1">
      <c r="B6" s="6" t="s">
        <v>147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 ht="24.95" customHeight="1">
      <c r="B7" s="7" t="s">
        <v>389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 s="9" customFormat="1" ht="24.95" customHeight="1">
      <c r="B8" s="864" t="s">
        <v>148</v>
      </c>
      <c r="C8" s="864"/>
      <c r="D8" s="864" t="s">
        <v>149</v>
      </c>
      <c r="E8" s="864"/>
      <c r="F8" s="864"/>
      <c r="G8" s="864"/>
      <c r="H8" s="864"/>
      <c r="I8" s="864"/>
      <c r="J8" s="864"/>
      <c r="K8" s="864"/>
      <c r="L8" s="864"/>
      <c r="M8" s="864"/>
      <c r="N8" s="86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 s="9" customFormat="1" ht="24.95" customHeight="1">
      <c r="B9" s="675"/>
      <c r="C9" s="675"/>
      <c r="D9" s="116">
        <v>10</v>
      </c>
      <c r="E9" s="116">
        <v>20</v>
      </c>
      <c r="F9" s="116">
        <v>30</v>
      </c>
      <c r="G9" s="116">
        <v>40</v>
      </c>
      <c r="H9" s="116">
        <v>50</v>
      </c>
      <c r="I9" s="116">
        <v>60</v>
      </c>
      <c r="J9" s="116">
        <v>70</v>
      </c>
      <c r="K9" s="116">
        <v>80</v>
      </c>
      <c r="L9" s="116">
        <v>90</v>
      </c>
      <c r="M9" s="116">
        <v>100</v>
      </c>
      <c r="N9" s="456" t="s">
        <v>386</v>
      </c>
      <c r="P9" s="577" t="s">
        <v>626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s="12" customFormat="1" ht="15" customHeight="1">
      <c r="B10" s="117" t="s">
        <v>150</v>
      </c>
      <c r="C10" s="457">
        <v>0.05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456">
        <f>0.05*D10*0.1+0.05*E10*0.2+0.05*F10*0.3+0.05*G10*0.4+0.05*H10*0.5+0.05*I10*0.6+0.05*J10*0.7+0.05*K10*0.8+0.05*L10*0.9+0.05*M10</f>
        <v>0</v>
      </c>
      <c r="P10" s="577" t="s">
        <v>627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s="9" customFormat="1" ht="15" customHeight="1">
      <c r="B11" s="117" t="s">
        <v>151</v>
      </c>
      <c r="C11" s="874">
        <v>0.2</v>
      </c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65">
        <f>0.2*D11*0.1+0.2*E11*0.2+0.2*F11*0.3+0.2*G11*0.4+0.2*H11*0.5+0.2*I11*0.6+0.2*J11*0.7+0.2*K11*0.8+0.2*L11*0.9+0.2*M11</f>
        <v>0</v>
      </c>
      <c r="P11" s="577" t="s">
        <v>511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 s="9" customFormat="1" ht="15" customHeight="1">
      <c r="B12" s="117" t="s">
        <v>152</v>
      </c>
      <c r="C12" s="874"/>
      <c r="D12" s="872"/>
      <c r="E12" s="872"/>
      <c r="F12" s="872"/>
      <c r="G12" s="872"/>
      <c r="H12" s="872"/>
      <c r="I12" s="872"/>
      <c r="J12" s="872"/>
      <c r="K12" s="872"/>
      <c r="L12" s="872"/>
      <c r="M12" s="872"/>
      <c r="N12" s="865"/>
      <c r="P12" s="577" t="s">
        <v>624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 s="9" customFormat="1" ht="15" customHeight="1">
      <c r="B13" s="117" t="s">
        <v>153</v>
      </c>
      <c r="C13" s="874"/>
      <c r="D13" s="873"/>
      <c r="E13" s="873"/>
      <c r="F13" s="873"/>
      <c r="G13" s="873"/>
      <c r="H13" s="873"/>
      <c r="I13" s="873"/>
      <c r="J13" s="873"/>
      <c r="K13" s="873"/>
      <c r="L13" s="873"/>
      <c r="M13" s="873"/>
      <c r="N13" s="865"/>
      <c r="P13" s="577" t="s">
        <v>628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s="9" customFormat="1" ht="15" customHeight="1">
      <c r="B14" s="117" t="s">
        <v>154</v>
      </c>
      <c r="C14" s="457">
        <v>0.1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456">
        <f>0.1*D14*0.1+0.1*E14*0.2+0.1*F14*0.3+0.1*G14*0.4+0.1*H14*0.5+0.1*I14*0.6+0.1*J14*0.7+0.1*K14*0.8+0.1*L14*0.9+0.1*M14</f>
        <v>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 s="9" customFormat="1" ht="15" customHeight="1">
      <c r="B15" s="117" t="s">
        <v>155</v>
      </c>
      <c r="C15" s="457">
        <v>0.05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456">
        <f>0.05*D15*0.1+0.05*E15*0.2+0.05*F15*0.3+0.05*G15*0.4+0.05*H15*0.5+0.05*I15*0.6+0.05*J15*0.7+0.05*K15*0.8+0.05*L15*0.9+0.05*M15</f>
        <v>0</v>
      </c>
      <c r="O15" s="11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s="9" customFormat="1" ht="15" customHeight="1">
      <c r="B16" s="117" t="s">
        <v>156</v>
      </c>
      <c r="C16" s="457">
        <v>0.1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456">
        <f>0.1*D16*0.1+0.1*E16*0.2+0.1*F16*0.3+0.1*G16*0.4+0.1*H16*0.5+0.1*I16*0.6+0.1*J16*0.7+0.1*K16*0.8+0.1*L16*0.9+0.1*M16</f>
        <v>0</v>
      </c>
      <c r="O16" s="119">
        <v>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30" s="122" customFormat="1" ht="15" customHeight="1">
      <c r="B17" s="189" t="s">
        <v>157</v>
      </c>
      <c r="C17" s="190"/>
      <c r="D17" s="190"/>
      <c r="E17" s="190"/>
      <c r="F17" s="190"/>
      <c r="G17" s="190"/>
      <c r="H17" s="190"/>
      <c r="I17" s="190"/>
      <c r="J17" s="190"/>
      <c r="K17" s="190"/>
      <c r="L17" s="897" t="s">
        <v>158</v>
      </c>
      <c r="M17" s="898"/>
      <c r="N17" s="455">
        <f>SUM(N10:N16)</f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30" s="122" customFormat="1" ht="15" customHeight="1">
      <c r="B18" s="189" t="s">
        <v>159</v>
      </c>
      <c r="C18" s="190"/>
      <c r="D18" s="190"/>
      <c r="E18" s="190"/>
      <c r="F18" s="190"/>
      <c r="G18" s="190"/>
      <c r="H18" s="190"/>
      <c r="I18" s="190"/>
      <c r="J18" s="190"/>
      <c r="K18" s="190"/>
      <c r="L18" s="897" t="s">
        <v>160</v>
      </c>
      <c r="M18" s="898"/>
      <c r="N18" s="455">
        <f>N17</f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30" s="9" customFormat="1" ht="15" customHeight="1">
      <c r="B19" s="868" t="s">
        <v>161</v>
      </c>
      <c r="C19" s="868"/>
      <c r="D19" s="868"/>
      <c r="E19" s="868"/>
      <c r="F19" s="868"/>
      <c r="G19" s="868"/>
      <c r="H19" s="868"/>
      <c r="I19" s="868"/>
      <c r="J19" s="868"/>
      <c r="K19" s="868"/>
      <c r="L19" s="868"/>
      <c r="M19" s="868"/>
      <c r="N19" s="455">
        <f>N17+N18</f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30" s="9" customFormat="1" ht="15" customHeight="1">
      <c r="B20" s="341"/>
      <c r="K20" s="123"/>
      <c r="L20" s="125"/>
      <c r="M20" s="125"/>
      <c r="N20" s="125" t="str">
        <f>IF(N17&lt;=0.5,"max 50%VERIFICATO","max 50 % NON VERIFICATO")</f>
        <v>max 50%VERIFICATO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30" s="9" customFormat="1" ht="15" customHeight="1">
      <c r="B21" s="341"/>
      <c r="K21" s="123"/>
      <c r="L21" s="123"/>
      <c r="M21" s="123"/>
      <c r="N21" s="12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30" ht="24.75" customHeight="1">
      <c r="B22" s="6" t="s">
        <v>162</v>
      </c>
      <c r="C22" s="4"/>
      <c r="D22" s="4"/>
      <c r="E22" s="4"/>
      <c r="F22" s="4"/>
      <c r="G22" s="4"/>
      <c r="H22" s="4"/>
      <c r="I22" s="4"/>
      <c r="J22" s="4"/>
      <c r="K22" s="4"/>
      <c r="L22" s="3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30" ht="24.75" customHeight="1">
      <c r="B23" s="48" t="s">
        <v>622</v>
      </c>
      <c r="C23" s="869" t="s">
        <v>91</v>
      </c>
      <c r="D23" s="870"/>
      <c r="E23" s="870"/>
      <c r="F23" s="870"/>
      <c r="G23" s="870"/>
      <c r="H23" s="870"/>
      <c r="I23" s="4"/>
      <c r="J23" s="32"/>
      <c r="K23" s="4"/>
      <c r="L23" s="4"/>
      <c r="M23" s="4"/>
      <c r="N23" s="162"/>
      <c r="O23" s="191"/>
      <c r="P23" s="654" t="s">
        <v>396</v>
      </c>
      <c r="Q23" s="858"/>
      <c r="R23" s="44"/>
      <c r="S23" s="879" t="s">
        <v>457</v>
      </c>
      <c r="T23" s="880"/>
      <c r="U23" s="846" t="s">
        <v>93</v>
      </c>
      <c r="V23" s="847"/>
      <c r="W23" s="848"/>
      <c r="X23" s="162"/>
      <c r="Y23" s="163"/>
      <c r="Z23" s="162"/>
      <c r="AA23" s="4"/>
      <c r="AB23" s="4"/>
      <c r="AC23" s="4"/>
    </row>
    <row r="24" spans="2:30" ht="24.75" customHeight="1">
      <c r="B24" s="48" t="s">
        <v>621</v>
      </c>
      <c r="C24" s="574" t="s">
        <v>620</v>
      </c>
      <c r="D24" s="575"/>
      <c r="E24" s="575"/>
      <c r="F24" s="84"/>
      <c r="G24" s="84"/>
      <c r="H24" s="84"/>
      <c r="I24" s="4"/>
      <c r="J24" s="4"/>
      <c r="K24" s="4"/>
      <c r="L24" s="32"/>
      <c r="M24" s="4"/>
      <c r="N24" s="4"/>
      <c r="O24" s="4"/>
      <c r="P24" s="3"/>
      <c r="Q24" s="164"/>
      <c r="R24" s="44"/>
      <c r="S24" s="130" t="s">
        <v>94</v>
      </c>
      <c r="T24" s="165" t="s">
        <v>95</v>
      </c>
      <c r="U24" s="849" t="s">
        <v>96</v>
      </c>
      <c r="V24" s="578" t="s">
        <v>97</v>
      </c>
      <c r="W24" s="557">
        <f>'QCC (A)'!I43</f>
        <v>1</v>
      </c>
      <c r="X24" s="162"/>
      <c r="Y24" s="546" t="s">
        <v>596</v>
      </c>
      <c r="Z24" s="162"/>
      <c r="AA24" s="4"/>
      <c r="AB24" s="4"/>
      <c r="AC24" s="4"/>
    </row>
    <row r="25" spans="2:30" ht="24.75" customHeight="1">
      <c r="B25" s="131" t="s">
        <v>218</v>
      </c>
      <c r="C25" s="67">
        <f>Q31*0.475</f>
        <v>0</v>
      </c>
      <c r="D25" s="66" t="s">
        <v>110</v>
      </c>
      <c r="E25" s="132" t="str">
        <f>IF(N17&gt;0.5,"ERRORE, RIPETERE STIMA INCIDENZA LAVORI","")</f>
        <v/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891" t="s">
        <v>658</v>
      </c>
      <c r="Q25" s="892"/>
      <c r="R25" s="44"/>
      <c r="S25" s="376" t="s">
        <v>509</v>
      </c>
      <c r="T25" s="246">
        <f>IF(T24=V24,AVERAGE(Q28:Q29)*W24,IF(T24=V25,AVERAGE(Q28:Q29)*W25,IF(T24=V26,AVERAGE(Q28:Q29)*W26,"errore o dati mancanti")))</f>
        <v>0</v>
      </c>
      <c r="U25" s="850"/>
      <c r="V25" s="578" t="s">
        <v>95</v>
      </c>
      <c r="W25" s="557">
        <f>'QCC (A)'!I44</f>
        <v>1.3</v>
      </c>
      <c r="X25" s="162"/>
      <c r="Y25" s="546" t="s">
        <v>597</v>
      </c>
      <c r="Z25" s="162"/>
      <c r="AA25" s="4"/>
      <c r="AB25" s="4"/>
      <c r="AC25" s="4"/>
    </row>
    <row r="26" spans="2:30" ht="24.75" customHeight="1" thickBot="1"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893"/>
      <c r="Q26" s="894"/>
      <c r="R26" s="168"/>
      <c r="S26" s="377" t="s">
        <v>510</v>
      </c>
      <c r="T26" s="169"/>
      <c r="U26" s="851"/>
      <c r="V26" s="579" t="s">
        <v>100</v>
      </c>
      <c r="W26" s="557">
        <f>'QCC (A)'!I45</f>
        <v>2</v>
      </c>
      <c r="X26" s="162"/>
      <c r="Y26" s="546" t="s">
        <v>598</v>
      </c>
      <c r="Z26" s="162"/>
      <c r="AA26" s="4"/>
      <c r="AB26" s="4"/>
      <c r="AC26" s="4"/>
    </row>
    <row r="27" spans="2:30" ht="24.75" customHeight="1">
      <c r="B27" s="76" t="s">
        <v>164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35"/>
      <c r="O27" s="4"/>
      <c r="P27" s="49"/>
      <c r="Q27" s="170"/>
      <c r="R27" s="44"/>
      <c r="S27" s="171"/>
      <c r="T27" s="171"/>
      <c r="U27" s="162"/>
      <c r="V27" s="231"/>
      <c r="W27" s="162"/>
      <c r="X27" s="162"/>
      <c r="Y27" s="162"/>
      <c r="Z27" s="162"/>
      <c r="AA27" s="4"/>
      <c r="AB27" s="4"/>
      <c r="AC27" s="4"/>
    </row>
    <row r="28" spans="2:30" ht="24.75" customHeight="1">
      <c r="B28" s="80" t="s">
        <v>219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87"/>
      <c r="O28" s="4"/>
      <c r="P28" s="55" t="s">
        <v>184</v>
      </c>
      <c r="Q28" s="56">
        <v>0</v>
      </c>
      <c r="R28" s="44"/>
      <c r="S28" s="654" t="s">
        <v>185</v>
      </c>
      <c r="T28" s="859"/>
      <c r="U28" s="849" t="s">
        <v>186</v>
      </c>
      <c r="V28" s="846" t="s">
        <v>187</v>
      </c>
      <c r="W28" s="847"/>
      <c r="X28" s="847"/>
      <c r="Y28" s="847"/>
      <c r="Z28" s="847"/>
      <c r="AA28" s="847"/>
      <c r="AB28" s="847"/>
      <c r="AC28" s="847"/>
      <c r="AD28" s="848"/>
    </row>
    <row r="29" spans="2:30" ht="24.75" customHeight="1">
      <c r="B29" s="86" t="s">
        <v>114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87"/>
      <c r="O29" s="4"/>
      <c r="P29" s="55" t="s">
        <v>189</v>
      </c>
      <c r="Q29" s="56">
        <v>0</v>
      </c>
      <c r="R29" s="44"/>
      <c r="S29" s="539" t="s">
        <v>190</v>
      </c>
      <c r="T29" s="172" t="s">
        <v>191</v>
      </c>
      <c r="U29" s="850"/>
      <c r="V29" s="533" t="s">
        <v>192</v>
      </c>
      <c r="W29" s="533" t="s">
        <v>191</v>
      </c>
      <c r="X29" s="533" t="s">
        <v>193</v>
      </c>
      <c r="Y29" s="533" t="s">
        <v>194</v>
      </c>
      <c r="Z29" s="533" t="s">
        <v>595</v>
      </c>
      <c r="AA29" s="533" t="s">
        <v>584</v>
      </c>
      <c r="AB29" s="533" t="s">
        <v>585</v>
      </c>
      <c r="AC29" s="533" t="s">
        <v>460</v>
      </c>
      <c r="AD29" s="533" t="s">
        <v>459</v>
      </c>
    </row>
    <row r="30" spans="2:30" ht="24.75" customHeight="1">
      <c r="B30" s="89" t="s">
        <v>168</v>
      </c>
      <c r="C30" s="4"/>
      <c r="D30" s="4"/>
      <c r="E30" s="374"/>
      <c r="F30" s="4"/>
      <c r="G30" s="4"/>
      <c r="H30" s="4"/>
      <c r="I30" s="4"/>
      <c r="J30" s="4"/>
      <c r="K30" s="4"/>
      <c r="L30" s="192"/>
      <c r="M30" s="192"/>
      <c r="N30" s="193"/>
      <c r="O30" s="4"/>
      <c r="P30" s="55"/>
      <c r="Q30" s="50"/>
      <c r="R30" s="44"/>
      <c r="S30" s="540" t="s">
        <v>195</v>
      </c>
      <c r="T30" s="172" t="s">
        <v>191</v>
      </c>
      <c r="U30" s="851"/>
      <c r="V30" s="228">
        <f>'QCC (C)'!T15</f>
        <v>1</v>
      </c>
      <c r="W30" s="532">
        <f>'QCC (C)'!U15</f>
        <v>0.87</v>
      </c>
      <c r="X30" s="532">
        <f>'QCC (C)'!V15</f>
        <v>1.28</v>
      </c>
      <c r="Y30" s="532">
        <f>'QCC (C)'!W15</f>
        <v>0.87</v>
      </c>
      <c r="Z30" s="532">
        <f>'QCC (C)'!X15</f>
        <v>1.01</v>
      </c>
      <c r="AA30" s="532">
        <f>'QCC (C)'!Y15</f>
        <v>0.36</v>
      </c>
      <c r="AB30" s="532">
        <f>'QCC (C)'!Z15</f>
        <v>0.35</v>
      </c>
      <c r="AC30" s="532">
        <f>'QCC (C)'!AA15</f>
        <v>0.44</v>
      </c>
      <c r="AD30" s="532">
        <f>'QCC (C)'!AB15</f>
        <v>0.51</v>
      </c>
    </row>
    <row r="31" spans="2:30" ht="24.75" customHeight="1">
      <c r="B31" s="479" t="s">
        <v>502</v>
      </c>
      <c r="C31" s="194"/>
      <c r="D31" s="140" t="s">
        <v>171</v>
      </c>
      <c r="E31" s="500">
        <v>0</v>
      </c>
      <c r="F31" s="4"/>
      <c r="G31" s="140" t="s">
        <v>172</v>
      </c>
      <c r="H31" s="500">
        <v>0</v>
      </c>
      <c r="I31" s="195"/>
      <c r="J31" s="141" t="s">
        <v>220</v>
      </c>
      <c r="K31" s="174">
        <f>E31+0.6*H31</f>
        <v>0</v>
      </c>
      <c r="L31" s="4"/>
      <c r="M31" s="196"/>
      <c r="N31" s="197" t="s">
        <v>125</v>
      </c>
      <c r="O31" s="4"/>
      <c r="P31" s="62" t="s">
        <v>101</v>
      </c>
      <c r="Q31" s="173">
        <f>T31</f>
        <v>0</v>
      </c>
      <c r="R31" s="44"/>
      <c r="S31" s="484" t="s">
        <v>478</v>
      </c>
      <c r="T31" s="246">
        <f>IF(AND(T29=W29,T30=W29),T25*V30,IF(AND(T29=X29,T30=X29),T25*V30,IF(AND(T29=Y29,T30=Y29),T25*V30,IF(AND(T29=AA29,T30=AA29),T25*V30,IF(AND(T29=AB29,T30=AB29),T25*V30,IF(AND(T29=AC29,T30=AC29),T25*V30,IF(AND(T29=V29,T30=W29),T25*W30,IF(AND(T29=V29,T30=X29),T25*X30,IF(AND(T29=V29,T30=Y29),T25*Y30,IF(AND(T29=V29,T30=AA29),T25*AA30,IF(AND(T29=V29,T30=AB29),T25*AB30,IF(AND(T29=V29,T30=AC29),T25*AC30,IF(AND(T29=V29,T30=AD29),T25*AD30,IF(AND(T29=V29,T30=Z29),T25*Z30,IF(AND(T29=T30),T25*1,"errore/dati mancanti")))))))))))))))</f>
        <v>0</v>
      </c>
      <c r="U31" s="4"/>
      <c r="V31" s="546"/>
      <c r="W31" s="4"/>
      <c r="X31" s="4"/>
      <c r="Y31" s="4"/>
      <c r="Z31" s="4"/>
      <c r="AA31" s="4"/>
      <c r="AB31" s="4"/>
      <c r="AC31" s="4"/>
      <c r="AD31" s="4"/>
    </row>
    <row r="32" spans="2:30" s="44" customFormat="1" ht="24.75" customHeight="1">
      <c r="B32" s="89" t="s">
        <v>175</v>
      </c>
      <c r="C32" s="4"/>
      <c r="D32" s="4"/>
      <c r="E32" s="481" t="s">
        <v>505</v>
      </c>
      <c r="F32" s="4"/>
      <c r="G32" s="4"/>
      <c r="H32" s="4"/>
      <c r="I32" s="4"/>
      <c r="J32" s="4"/>
      <c r="K32" s="4"/>
      <c r="L32" s="192"/>
      <c r="M32" s="192"/>
      <c r="N32" s="197" t="s">
        <v>128</v>
      </c>
      <c r="P32" s="484" t="s">
        <v>382</v>
      </c>
      <c r="S32" s="4"/>
      <c r="T32" s="4"/>
      <c r="U32" s="4"/>
      <c r="V32" s="546"/>
      <c r="W32" s="4"/>
      <c r="X32" s="4"/>
      <c r="Y32" s="4"/>
      <c r="Z32" s="4"/>
    </row>
    <row r="33" spans="2:32" ht="24.75" customHeight="1">
      <c r="B33" s="89" t="s">
        <v>221</v>
      </c>
      <c r="C33" s="4"/>
      <c r="D33" s="4"/>
      <c r="E33" s="4"/>
      <c r="F33" s="4"/>
      <c r="G33" s="4"/>
      <c r="H33" s="4"/>
      <c r="I33" s="4"/>
      <c r="J33" s="4"/>
      <c r="K33" s="4"/>
      <c r="L33" s="192"/>
      <c r="M33" s="192"/>
      <c r="N33" s="198"/>
      <c r="O33" s="4"/>
      <c r="P33" s="485" t="s">
        <v>383</v>
      </c>
      <c r="Q33" s="4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2:32" ht="24.75" customHeight="1">
      <c r="B34" s="885" t="s">
        <v>222</v>
      </c>
      <c r="C34" s="876"/>
      <c r="D34" s="876"/>
      <c r="E34" s="876"/>
      <c r="F34" s="876"/>
      <c r="G34" s="876"/>
      <c r="H34" s="876"/>
      <c r="I34" s="876"/>
      <c r="J34" s="199"/>
      <c r="K34" s="200"/>
      <c r="L34" s="177">
        <f>HLOOKUP(N34,B48:Q49,2,0)</f>
        <v>7</v>
      </c>
      <c r="M34" s="178" t="s">
        <v>223</v>
      </c>
      <c r="N34" s="179" t="s">
        <v>202</v>
      </c>
      <c r="O34" s="4"/>
      <c r="P34" s="44"/>
      <c r="Q34" s="492" t="s">
        <v>547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2:32" ht="9.9499999999999993" customHeight="1" thickBot="1">
      <c r="B35" s="180"/>
      <c r="C35" s="181"/>
      <c r="D35" s="181"/>
      <c r="E35" s="181"/>
      <c r="F35" s="181"/>
      <c r="G35" s="181"/>
      <c r="H35" s="181"/>
      <c r="I35" s="181"/>
      <c r="J35" s="4"/>
      <c r="K35" s="92"/>
      <c r="L35" s="195"/>
      <c r="M35" s="195"/>
      <c r="N35" s="175"/>
      <c r="O35" s="4"/>
      <c r="P35" s="44"/>
      <c r="Q35" s="4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 ht="50.1" customHeight="1" thickBot="1">
      <c r="B36" s="843" t="s">
        <v>557</v>
      </c>
      <c r="C36" s="886"/>
      <c r="D36" s="886"/>
      <c r="E36" s="886"/>
      <c r="F36" s="886"/>
      <c r="G36" s="886"/>
      <c r="H36" s="886"/>
      <c r="I36" s="886"/>
      <c r="J36" s="886"/>
      <c r="K36" s="886"/>
      <c r="L36" s="886"/>
      <c r="M36" s="888"/>
      <c r="N36" s="503" t="s">
        <v>125</v>
      </c>
      <c r="O36" s="4"/>
      <c r="P36" s="44"/>
      <c r="Q36" s="493" t="s">
        <v>521</v>
      </c>
      <c r="R36" s="494" t="s">
        <v>1</v>
      </c>
      <c r="S36" s="495" t="s">
        <v>522</v>
      </c>
      <c r="T36" s="496" t="e">
        <f>(S37*S38*S39*1000)/S40</f>
        <v>#DIV/0!</v>
      </c>
      <c r="U36" s="497"/>
      <c r="V36" s="508" t="e">
        <f>T36/0.475</f>
        <v>#DIV/0!</v>
      </c>
      <c r="W36" s="889" t="s">
        <v>523</v>
      </c>
      <c r="X36" s="890"/>
      <c r="Y36" s="890"/>
      <c r="Z36" s="890"/>
      <c r="AA36" s="890"/>
      <c r="AB36" s="890"/>
      <c r="AC36" s="4"/>
      <c r="AD36" s="4"/>
      <c r="AE36" s="4"/>
      <c r="AF36" s="4"/>
    </row>
    <row r="37" spans="2:32" ht="24.75" customHeight="1" thickBot="1">
      <c r="B37" s="145"/>
      <c r="C37" s="201"/>
      <c r="D37" s="201"/>
      <c r="E37" s="201"/>
      <c r="F37" s="201"/>
      <c r="G37" s="201"/>
      <c r="H37" s="201"/>
      <c r="I37" s="201"/>
      <c r="J37" s="201"/>
      <c r="K37" s="201"/>
      <c r="L37" s="99"/>
      <c r="M37" s="202">
        <v>0</v>
      </c>
      <c r="N37" s="203">
        <v>35</v>
      </c>
      <c r="O37" s="4"/>
      <c r="P37" s="4"/>
      <c r="Q37" s="162" t="s">
        <v>433</v>
      </c>
      <c r="R37" s="162" t="s">
        <v>1</v>
      </c>
      <c r="S37" s="498">
        <v>0</v>
      </c>
      <c r="T37" s="499" t="s">
        <v>524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2" ht="30" customHeight="1" thickBot="1">
      <c r="B38" s="204"/>
      <c r="C38" s="205" t="s">
        <v>224</v>
      </c>
      <c r="D38" s="206"/>
      <c r="E38" s="206"/>
      <c r="F38" s="206"/>
      <c r="G38" s="900">
        <f>IF(N36="SI",G45,IF(N36="NO",G46))</f>
        <v>0</v>
      </c>
      <c r="H38" s="901"/>
      <c r="I38" s="901"/>
      <c r="J38" s="901"/>
      <c r="K38" s="206"/>
      <c r="L38" s="207"/>
      <c r="M38" s="205"/>
      <c r="N38" s="208"/>
      <c r="O38" s="4"/>
      <c r="P38" s="4"/>
      <c r="Q38" s="162" t="s">
        <v>525</v>
      </c>
      <c r="R38" s="162" t="s">
        <v>1</v>
      </c>
      <c r="S38" s="617">
        <v>0.41170000000000001</v>
      </c>
      <c r="T38" s="499" t="s">
        <v>526</v>
      </c>
      <c r="U38" s="4"/>
      <c r="V38" s="4"/>
      <c r="W38" s="4"/>
      <c r="X38" s="4"/>
      <c r="Y38" s="618"/>
      <c r="Z38" s="619"/>
      <c r="AA38" s="618"/>
      <c r="AB38" s="618"/>
      <c r="AC38" s="4"/>
      <c r="AD38" s="4"/>
      <c r="AE38" s="4"/>
      <c r="AF38" s="4"/>
    </row>
    <row r="39" spans="2:32" s="4" customFormat="1" ht="24.75" customHeight="1">
      <c r="K39" s="209"/>
      <c r="L39" s="210"/>
      <c r="M39" s="211"/>
      <c r="N39" s="194" t="s">
        <v>384</v>
      </c>
      <c r="Q39" s="162" t="s">
        <v>527</v>
      </c>
      <c r="R39" s="162" t="s">
        <v>1</v>
      </c>
      <c r="S39" s="620">
        <v>117.15</v>
      </c>
      <c r="T39" s="499" t="s">
        <v>675</v>
      </c>
      <c r="Y39" s="621"/>
      <c r="Z39" s="622"/>
      <c r="AA39" s="618"/>
      <c r="AB39" s="618"/>
    </row>
    <row r="40" spans="2:32" s="212" customFormat="1" ht="24.75" customHeight="1">
      <c r="Q40" s="162" t="s">
        <v>528</v>
      </c>
      <c r="R40" s="162" t="s">
        <v>1</v>
      </c>
      <c r="S40" s="500">
        <v>0</v>
      </c>
      <c r="T40" s="499" t="s">
        <v>529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2:32" s="212" customFormat="1" ht="24.75" customHeight="1">
      <c r="B41" s="4"/>
      <c r="C41" s="4"/>
      <c r="D41" s="4"/>
      <c r="E41" s="4"/>
      <c r="F41" s="4"/>
      <c r="G41" s="4"/>
      <c r="H41" s="4"/>
      <c r="I41" s="4"/>
      <c r="J41" s="4"/>
      <c r="Q41" s="4"/>
      <c r="R41" s="4"/>
      <c r="S41" s="501" t="s">
        <v>530</v>
      </c>
      <c r="T41" s="502" t="s">
        <v>676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2:32" ht="24.75" customHeight="1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02" t="s">
        <v>677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2:32"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2:3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2:32" ht="20.100000000000001" hidden="1" customHeight="1">
      <c r="B45" s="212"/>
      <c r="C45" s="213" t="s">
        <v>225</v>
      </c>
      <c r="D45" s="212"/>
      <c r="E45" s="212"/>
      <c r="F45" s="212"/>
      <c r="G45" s="899">
        <f>C25*K31*N19*0.5*L34/100*(1-N37/100)</f>
        <v>0</v>
      </c>
      <c r="H45" s="902"/>
      <c r="I45" s="902"/>
      <c r="J45" s="90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2:32" ht="20.100000000000001" hidden="1" customHeight="1">
      <c r="B46" s="212"/>
      <c r="C46" s="213" t="s">
        <v>225</v>
      </c>
      <c r="D46" s="212"/>
      <c r="E46" s="212"/>
      <c r="F46" s="212"/>
      <c r="G46" s="899">
        <f>C25*K31*N19*0.5*L34/100*(1-M37/100)</f>
        <v>0</v>
      </c>
      <c r="H46" s="899"/>
      <c r="I46" s="899"/>
      <c r="J46" s="899"/>
      <c r="K46" s="4"/>
      <c r="L46" s="4"/>
      <c r="M46" s="4"/>
      <c r="N46" s="4"/>
      <c r="O46" s="4"/>
      <c r="P46" s="4"/>
      <c r="Q46" s="4"/>
      <c r="R46" s="4"/>
      <c r="S46" s="186" t="s">
        <v>462</v>
      </c>
      <c r="T46" s="186" t="s">
        <v>216</v>
      </c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2:32" ht="20.100000000000001" hidden="1" customHeight="1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87">
        <v>7</v>
      </c>
      <c r="T47" s="187">
        <v>7</v>
      </c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2:32" ht="20.100000000000001" hidden="1" customHeight="1">
      <c r="B48" s="185" t="s">
        <v>202</v>
      </c>
      <c r="C48" s="185" t="s">
        <v>203</v>
      </c>
      <c r="D48" s="185" t="s">
        <v>199</v>
      </c>
      <c r="E48" s="185" t="s">
        <v>204</v>
      </c>
      <c r="F48" s="185" t="s">
        <v>205</v>
      </c>
      <c r="G48" s="185" t="s">
        <v>206</v>
      </c>
      <c r="H48" s="185" t="s">
        <v>207</v>
      </c>
      <c r="I48" s="185" t="s">
        <v>208</v>
      </c>
      <c r="J48" s="186" t="s">
        <v>209</v>
      </c>
      <c r="K48" s="186" t="s">
        <v>210</v>
      </c>
      <c r="L48" s="186" t="s">
        <v>211</v>
      </c>
      <c r="M48" s="186" t="s">
        <v>212</v>
      </c>
      <c r="N48" s="461" t="s">
        <v>213</v>
      </c>
      <c r="O48" s="186" t="s">
        <v>214</v>
      </c>
      <c r="P48" s="186" t="s">
        <v>215</v>
      </c>
      <c r="Q48" s="186" t="s">
        <v>462</v>
      </c>
      <c r="R48" s="186" t="s">
        <v>216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18" ht="20.100000000000001" hidden="1" customHeight="1">
      <c r="B49" s="187">
        <v>7</v>
      </c>
      <c r="C49" s="187">
        <v>7</v>
      </c>
      <c r="D49" s="187">
        <v>7</v>
      </c>
      <c r="E49" s="187">
        <v>7</v>
      </c>
      <c r="F49" s="187">
        <v>7</v>
      </c>
      <c r="G49" s="187">
        <v>10</v>
      </c>
      <c r="H49" s="187">
        <v>10</v>
      </c>
      <c r="I49" s="187">
        <v>10</v>
      </c>
      <c r="J49" s="187">
        <v>7</v>
      </c>
      <c r="K49" s="187">
        <v>7</v>
      </c>
      <c r="L49" s="187">
        <v>7</v>
      </c>
      <c r="M49" s="187">
        <v>7</v>
      </c>
      <c r="N49" s="462">
        <v>7</v>
      </c>
      <c r="O49" s="187">
        <v>7</v>
      </c>
      <c r="P49" s="187">
        <v>7</v>
      </c>
      <c r="Q49" s="187">
        <v>7</v>
      </c>
      <c r="R49" s="187">
        <v>7</v>
      </c>
    </row>
    <row r="50" spans="2:18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</sheetData>
  <sheetProtection algorithmName="SHA-512" hashValue="NoSwb+/7/tYbhbX6I2rLFG5iS4VQckoSTrRb97dPaAGT50sU2IPQoUu/1qiWKYy1g+d7jNDMMezcs0SFnjxJwA==" saltValue="zvtM29SkpzymZlysbmv5WA==" spinCount="100000" sheet="1" objects="1" scenarios="1" selectLockedCells="1"/>
  <mergeCells count="35">
    <mergeCell ref="G46:J46"/>
    <mergeCell ref="S23:T23"/>
    <mergeCell ref="U23:W23"/>
    <mergeCell ref="U24:U26"/>
    <mergeCell ref="P25:Q26"/>
    <mergeCell ref="S28:T28"/>
    <mergeCell ref="U28:U30"/>
    <mergeCell ref="P23:Q23"/>
    <mergeCell ref="B34:I34"/>
    <mergeCell ref="B36:M36"/>
    <mergeCell ref="W36:AB36"/>
    <mergeCell ref="G38:J38"/>
    <mergeCell ref="G45:J45"/>
    <mergeCell ref="V28:AD28"/>
    <mergeCell ref="C23:H23"/>
    <mergeCell ref="N11:N13"/>
    <mergeCell ref="L17:M17"/>
    <mergeCell ref="L18:M18"/>
    <mergeCell ref="B19:M19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C2:O2"/>
    <mergeCell ref="C3:O3"/>
    <mergeCell ref="B5:O5"/>
    <mergeCell ref="B8:C9"/>
    <mergeCell ref="D8:N8"/>
  </mergeCells>
  <conditionalFormatting sqref="L20:N20">
    <cfRule type="expression" dxfId="29" priority="16" stopIfTrue="1">
      <formula>$N$17&gt;0.5</formula>
    </cfRule>
  </conditionalFormatting>
  <conditionalFormatting sqref="Q31">
    <cfRule type="expression" dxfId="28" priority="13">
      <formula>$D$15="errore o dati mancanti"</formula>
    </cfRule>
  </conditionalFormatting>
  <conditionalFormatting sqref="T25">
    <cfRule type="expression" dxfId="27" priority="5">
      <formula>#REF!&lt;&gt;"errore o dati mancanti"</formula>
    </cfRule>
    <cfRule type="expression" dxfId="26" priority="6">
      <formula>#REF!="errore o dati mancanti"</formula>
    </cfRule>
  </conditionalFormatting>
  <conditionalFormatting sqref="T31">
    <cfRule type="expression" dxfId="25" priority="1">
      <formula>#REF!&lt;&gt;"errore o dati mancanti"</formula>
    </cfRule>
    <cfRule type="expression" dxfId="24" priority="2">
      <formula>#REF!="errore o dati mancanti"</formula>
    </cfRule>
  </conditionalFormatting>
  <dataValidations count="5">
    <dataValidation type="list" allowBlank="1" showInputMessage="1" showErrorMessage="1" sqref="N34">
      <formula1>$B$48:$Q$48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T30">
      <formula1>$W$29:$AD$29</formula1>
    </dataValidation>
    <dataValidation type="list" allowBlank="1" showInputMessage="1" showErrorMessage="1" sqref="T29">
      <formula1>$V$29:$AD$29</formula1>
    </dataValidation>
  </dataValidations>
  <hyperlinks>
    <hyperlink ref="C23" r:id="rId1"/>
    <hyperlink ref="C24" r:id="rId2"/>
  </hyperlinks>
  <pageMargins left="0.7" right="0.7" top="0.75" bottom="0.75" header="0.3" footer="0.3"/>
  <pageSetup paperSize="8" scale="55" orientation="landscape" horizontalDpi="1200" verticalDpi="1200" r:id="rId3"/>
  <ignoredErrors>
    <ignoredError sqref="N15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9</vt:i4>
      </vt:variant>
    </vt:vector>
  </HeadingPairs>
  <TitlesOfParts>
    <vt:vector size="21" baseType="lpstr">
      <vt:lpstr>STARCH</vt:lpstr>
      <vt:lpstr>VARIANTI</vt:lpstr>
      <vt:lpstr>NOTE IMPORTANTI</vt:lpstr>
      <vt:lpstr>Tabella Parametrica U1-U2</vt:lpstr>
      <vt:lpstr>Allegato_1Cs</vt:lpstr>
      <vt:lpstr>QCC (A)</vt:lpstr>
      <vt:lpstr>QCC (B)</vt:lpstr>
      <vt:lpstr>QCC (C)</vt:lpstr>
      <vt:lpstr>QCC (D)</vt:lpstr>
      <vt:lpstr>QCC (A.bis) cambio d'uso</vt:lpstr>
      <vt:lpstr>QCC (C.bis) cambio d'uso</vt:lpstr>
      <vt:lpstr>QCC (C.ter) cambio d'uso</vt:lpstr>
      <vt:lpstr>Allegato_1Cs!Area_stampa</vt:lpstr>
      <vt:lpstr>'QCC (A)'!Area_stampa</vt:lpstr>
      <vt:lpstr>'QCC (A.bis) cambio d''uso'!Area_stampa</vt:lpstr>
      <vt:lpstr>'QCC (B)'!Area_stampa</vt:lpstr>
      <vt:lpstr>'QCC (C)'!Area_stampa</vt:lpstr>
      <vt:lpstr>'QCC (C.bis) cambio d''uso'!Area_stampa</vt:lpstr>
      <vt:lpstr>'QCC (C.ter) cambio d''uso'!Area_stampa</vt:lpstr>
      <vt:lpstr>'QCC (D)'!Area_stampa</vt:lpstr>
      <vt:lpstr>'Tabella Parametrica U1-U2'!Area_stampa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2022-06-10T13:15:26Z</cp:lastPrinted>
  <dcterms:created xsi:type="dcterms:W3CDTF">2006-09-16T00:00:00Z</dcterms:created>
  <dcterms:modified xsi:type="dcterms:W3CDTF">2026-02-27T11:38:49Z</dcterms:modified>
</cp:coreProperties>
</file>